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Orçamento Sintético" sheetId="1" state="visible" r:id="rId1"/>
  </sheets>
  <definedNames>
    <definedName name="Print_Titles" localSheetId="0" hidden="0">'Orçamento Sintético'!$1:$5</definedName>
  </definedNames>
  <calcPr/>
</workbook>
</file>

<file path=xl/sharedStrings.xml><?xml version="1.0" encoding="utf-8"?>
<sst xmlns="http://schemas.openxmlformats.org/spreadsheetml/2006/main" count="412" uniqueCount="412">
  <si>
    <t>Obra</t>
  </si>
  <si>
    <t>Bancos</t>
  </si>
  <si>
    <t>B.D.I.</t>
  </si>
  <si>
    <t xml:space="preserve">Encargos Sociais</t>
  </si>
  <si>
    <t xml:space="preserve">Drenagem e Pavimentação Asfáltica em Diversas Ruas: Rua 24 de Fevereiro; Rua Augusto A. Rolim; Rua Fidélis Fontana; Rua Ianne Thorstemberg; Rua José Carlos dos Santos; Rua Lulu Ilgenfritz; Rua Tiradentes</t>
  </si>
  <si>
    <t xml:space="preserve">SINAPI - 08/2023 - Rio Grande do Sul
SICRO3 - 04/2023 - Rio Grande do Sul</t>
  </si>
  <si>
    <t>20,33%</t>
  </si>
  <si>
    <t xml:space="preserve">Não Desonerado: 
Horista: 112,77%
Mensalista: 69,88%</t>
  </si>
  <si>
    <t xml:space="preserve"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</si>
  <si>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</si>
  <si>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</si>
  <si>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</si>
  <si>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</si>
  <si>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</si>
  <si>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</si>
  <si>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 xml:space="preserve">Valor Unit</t>
  </si>
  <si>
    <t xml:space="preserve">Valor Unit com BDI</t>
  </si>
  <si>
    <t>Total</t>
  </si>
  <si>
    <t xml:space="preserve">Peso (%)</t>
  </si>
  <si>
    <t xml:space="preserve">M. O.</t>
  </si>
  <si>
    <t>MAT.</t>
  </si>
  <si>
    <t>1</t>
  </si>
  <si>
    <t xml:space="preserve">RUA 24 DE FEVEREIRO - ENTRE A RUA ÁLVARO CHAVES E A RUA 12 DE OUTUBRO - TRECHO 01</t>
  </si>
  <si>
    <t>1.1</t>
  </si>
  <si>
    <t xml:space="preserve">SERVIÇOS PRELIMINARES</t>
  </si>
  <si>
    <t>1.1.1</t>
  </si>
  <si>
    <t>PLACA</t>
  </si>
  <si>
    <t>Próprio</t>
  </si>
  <si>
    <t xml:space="preserve">PLACA DE OBRA 3,00 X 1,50 M EM CHAPA DE AÇO GALVANIZADO</t>
  </si>
  <si>
    <t>Unidade</t>
  </si>
  <si>
    <t>1.1.2</t>
  </si>
  <si>
    <t>ADM</t>
  </si>
  <si>
    <t xml:space="preserve">ADMINISTRAÇÃO LOCAL</t>
  </si>
  <si>
    <t>m²</t>
  </si>
  <si>
    <t>1.1.3</t>
  </si>
  <si>
    <t>99064</t>
  </si>
  <si>
    <t>SINAPI</t>
  </si>
  <si>
    <t xml:space="preserve">LOCAÇÃO DE PAVIMENTAÇÃO. AF_10/2018</t>
  </si>
  <si>
    <t>M</t>
  </si>
  <si>
    <t>1.1.4</t>
  </si>
  <si>
    <t>98524</t>
  </si>
  <si>
    <t xml:space="preserve">LIMPEZA MANUAL DE VEGETAÇÃO EM TERRENO COM ENXADA.AF_05/2018</t>
  </si>
  <si>
    <t>1.2</t>
  </si>
  <si>
    <t>PAVIMENTAÇÃO</t>
  </si>
  <si>
    <t>1.2.1</t>
  </si>
  <si>
    <t xml:space="preserve">R MF</t>
  </si>
  <si>
    <t xml:space="preserve">REMOÇÃO DE MEIO-FIO INCLUSIVE CARGA</t>
  </si>
  <si>
    <t>1.2.2</t>
  </si>
  <si>
    <t xml:space="preserve">MF L10X12</t>
  </si>
  <si>
    <t xml:space="preserve">ASSENTAMENTO DE GUIA (MEIO-FIO) EM TRECHO RETO, CONFECCIONADA EM CONCRETO PRÉ-FABRICADO, DIMENSÕES 100X12X10X30 CM (COMPRIMENTO X BASE INFERIOR X BASE SUPERIOR X ALTURA), PARA VIAS URBANAS (USO VIÁRIO). AF_06/2016. BASEADO SINAPI 94273</t>
  </si>
  <si>
    <t>1.2.3</t>
  </si>
  <si>
    <t>PINT</t>
  </si>
  <si>
    <t xml:space="preserve">EXECUÇÃO DE PINTURA DE LIGAÇÃO COM EMULSÃO ASFÁLTICA RR-2C (EXCLUSIVE EMULSÃO RR-2C). Ref. SINAPI 96402</t>
  </si>
  <si>
    <t>1.2.4</t>
  </si>
  <si>
    <t xml:space="preserve">RR-2C - 08/23</t>
  </si>
  <si>
    <t xml:space="preserve">EMULSÃO ASFÁLTICA RR-2C (ACRESCIDO DE ICMS)</t>
  </si>
  <si>
    <t>kg</t>
  </si>
  <si>
    <t>1.2.5</t>
  </si>
  <si>
    <t>102330</t>
  </si>
  <si>
    <t xml:space="preserve">TRANSPORTE COM CAMINHÃO TANQUE DE TRANSPORTE DE MATERIAL ASFÁLTICO DE 30000 L, EM VIA URBANA PAVIMENTADA, DMT ATÉ 30KM (UNIDADE: TXKM). AF_07/2020</t>
  </si>
  <si>
    <t>TXKM</t>
  </si>
  <si>
    <t>1.2.6</t>
  </si>
  <si>
    <t>102331</t>
  </si>
  <si>
    <t xml:space="preserve">TRANSPORTE COM CAMINHÃO TANQUE DE TRANSPORTE DE MATERIAL ASFÁLTICO DE 30000 L, EM VIA URBANA PAVIMENTADA, ADICIONAL PARA DMT EXCEDENTE A 30 KM (UNIDADE: TXKM). AF_07/2020</t>
  </si>
  <si>
    <t>1.2.7</t>
  </si>
  <si>
    <t>4011463</t>
  </si>
  <si>
    <t>SICRO3</t>
  </si>
  <si>
    <t xml:space="preserve">Concreto asfáltico - faixa C - areia e brita comerciais</t>
  </si>
  <si>
    <t>t</t>
  </si>
  <si>
    <t>1.2.8</t>
  </si>
  <si>
    <t xml:space="preserve">CAP 08/2023</t>
  </si>
  <si>
    <t xml:space="preserve">CIMENTO ASFÁLTICO DE PETRÓLEO CAP 50/70 (ACRESCIDO DE ICMS)</t>
  </si>
  <si>
    <t>1.2.9</t>
  </si>
  <si>
    <t>95878</t>
  </si>
  <si>
    <t xml:space="preserve">TRANSPORTE COM CAMINHÃO BASCULANTE DE 10 M³, EM VIA URBANA PAVIMENTADA, DMT ATÉ 30 KM (UNIDADE: TXKM). AF_07/2020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</si>
  <si>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</si>
  <si>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</si>
  <si>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</si>
  <si>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</si>
  <si>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</si>
  <si>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</si>
  <si>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</si>
  <si>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</si>
  <si>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</si>
  <si>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</si>
  <si>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</si>
  <si>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1.3</t>
  </si>
  <si>
    <t>SINALIZAÇÃO</t>
  </si>
  <si>
    <t>1.25</t>
  </si>
  <si>
    <t>MF</t>
  </si>
  <si>
    <t xml:space="preserve">PINTURA DE MEIO-FIO COM TINTA A BASE DE RESINA ACRÍLICA.</t>
  </si>
  <si>
    <t>1.26</t>
  </si>
  <si>
    <t>102512</t>
  </si>
  <si>
    <t xml:space="preserve">PINTURA DE EIXO VIÁRIO SOBRE ASFALTO COM TINTA RETRORREFLETIVA A BASE DE RESINA ACRÍLICA COM MICROESFERAS DE VIDRO, APLICAÇÃO MECÂNICA COM DEMARCADORA AUTOPROPELIDA. AF_05/2021</t>
  </si>
  <si>
    <t>1.27</t>
  </si>
  <si>
    <t>102509</t>
  </si>
  <si>
    <t xml:space="preserve">PINTURA DE FAIXA DE PEDESTRE OU ZEBRADA TINTA RETRORREFLETIVA A BASE DE RESINA ACRÍLICA COM MICROESFERAS DE VIDRO, E = 30 CM, APLICAÇÃO MANUAL. AF_05/2021</t>
  </si>
  <si>
    <t>1.28</t>
  </si>
  <si>
    <t xml:space="preserve">CP17- A</t>
  </si>
  <si>
    <t xml:space="preserve">CONFECÇÃO E INSTALAÇÃO DE PLACA R-19, DIÂMETRO DE 50 CM, EM CHAPA DE ACÇO COM PINTURA REFLETIVA E SUPORTE DE TUBO GALVANIZADO, FIXO EM BASE DE CONCRETO 20*20*40 CM ENTERRADA A 60 CM DE PROFUNDIDADE</t>
  </si>
  <si>
    <t>unidade</t>
  </si>
  <si>
    <t>2</t>
  </si>
  <si>
    <t xml:space="preserve">RUA AUGUSTO A. ROLIM - ENTRE A RUA DO COMÉRCIO E A RUA IANNE THORSTEMBERG - TRECHO 02</t>
  </si>
  <si>
    <t>2.1</t>
  </si>
  <si>
    <t>2.1.1</t>
  </si>
  <si>
    <t>2.1.2</t>
  </si>
  <si>
    <t>2.1.3</t>
  </si>
  <si>
    <t>2.2</t>
  </si>
  <si>
    <t>DRENAGEM</t>
  </si>
  <si>
    <t>2.2.1</t>
  </si>
  <si>
    <t>102276</t>
  </si>
  <si>
    <t xml:space="preserve">ESCAVAÇÃO MECANIZADA DE VALA COM PROF. ATÉ 1,5 M (MÉDIA MONTANTE E JUSANTE/UMA COMPOSIÇÃO POR TRECHO), ESCAVADEIRA (0,8 M3), LARG. MENOR QUE 1,5 M, EM SOLO DE 1A CATEGORIA, EM LOCAIS COM ALTO NÍVEL DE INTERFERÊNCIA. AF_02/2021</t>
  </si>
  <si>
    <t>m³</t>
  </si>
  <si>
    <t>2.2.2</t>
  </si>
  <si>
    <t>95876</t>
  </si>
  <si>
    <t xml:space="preserve">TRANSPORTE COM CAMINHÃO BASCULANTE DE 14 M³, EM VIA URBANA PAVIMENTADA, DMT ATÉ 30 KM (UNIDADE: M3XKM). AF_07/2020</t>
  </si>
  <si>
    <t>M3XKM</t>
  </si>
  <si>
    <t>2.2.3</t>
  </si>
  <si>
    <t>00037451</t>
  </si>
  <si>
    <t xml:space="preserve">TUBO DE CONCRETO SIMPLES PARA AGUAS PLUVIAIS, CLASSE PS1, COM ENCAIXE MACHO E FEMEA, DIAMETRO NOMINAL DE 400 MM</t>
  </si>
  <si>
    <t>2.2.4</t>
  </si>
  <si>
    <t>92821</t>
  </si>
  <si>
    <t xml:space="preserve">ASSENTAMENTO DE TUBO DE CONCRETO PARA REDES COLETORAS DE ÁGUAS PLUVIAIS, DIÂMETRO DE 400 MM, JUNTA RÍGIDA, INSTALADO EM LOCAL COM ALTO NÍVEL DE INTERFERÊNCIAS (NÃO INCLUI FORNECIMENTO). AF_12/2015</t>
  </si>
  <si>
    <t>2.2.5</t>
  </si>
  <si>
    <t>00004721</t>
  </si>
  <si>
    <t xml:space="preserve">PEDRA BRITADA N. 1 (9,5 a 19 MM) POSTO PEDREIRA/FORNECEDOR, SEM FRETE</t>
  </si>
  <si>
    <t>2.2.6</t>
  </si>
  <si>
    <t>00004722</t>
  </si>
  <si>
    <t xml:space="preserve">PEDRA BRITADA N. 3 (38 A 50 MM) POSTO PEDREIRA/FORNECEDOR, SEM FRETE</t>
  </si>
  <si>
    <t>2.2.7</t>
  </si>
  <si>
    <t>00004730</t>
  </si>
  <si>
    <t xml:space="preserve">PEDRA DE MAO OU PEDRA RACHAO PARA ARRIMO/FUNDACAO (POSTO PEDREIRA/FORNECEDOR, SEM FRETE)</t>
  </si>
  <si>
    <t>2.2.8</t>
  </si>
  <si>
    <t>00004729</t>
  </si>
  <si>
    <t xml:space="preserve">PEDRA BRITADA GRADUADA, CLASSIFICADA (POSTO PEDREIRA/FORNECEDOR, SEM FRETE)</t>
  </si>
  <si>
    <t>2.2.9</t>
  </si>
  <si>
    <t>2.2.10</t>
  </si>
  <si>
    <t>IMPRI</t>
  </si>
  <si>
    <t xml:space="preserve">EXECUÇÃO DE IMPRIMAÇÃO COM ASFALTO DILUÍDO CM-30 (EXCLUSIVE ASFALTO DILUÍDO CM -30)</t>
  </si>
  <si>
    <t>2.2.11</t>
  </si>
  <si>
    <t xml:space="preserve">CM-30 - 08/23</t>
  </si>
  <si>
    <t xml:space="preserve">ASFALTO DILUÍDO CM-30 (ACRESCIDO DE ICMS)</t>
  </si>
  <si>
    <t>2.2.12</t>
  </si>
  <si>
    <t>2.2.13</t>
  </si>
  <si>
    <t>2.2.14</t>
  </si>
  <si>
    <t>2.2.15</t>
  </si>
  <si>
    <t>2.2.16</t>
  </si>
  <si>
    <t>2.2.17</t>
  </si>
  <si>
    <t>2.2.18</t>
  </si>
  <si>
    <t xml:space="preserve">BLC FoFo</t>
  </si>
  <si>
    <t xml:space="preserve">CAIXA PARA BOCA DE LOBO COMBINADA COM GRELHA RETANGULAR DE FERRO FUNDIDO, EM ALVENARIA COM TIJOLOS CERÂMICOS MACIÇOS E TAMPA DE CONCRETO ARMADO E = 10 cm, DIMENSÕES INTERNAS: 1,3X1X1,2 M.</t>
  </si>
  <si>
    <t>UN</t>
  </si>
  <si>
    <t>2.2.19</t>
  </si>
  <si>
    <t>101800</t>
  </si>
  <si>
    <t xml:space="preserve">CAIXA COM GRELHA RETANGULAR DE FERRO FUNDIDO, EM ALVENARIA COM TIJOLOS CERÂMICOS MACIÇOS, DIMENSÕES INTERNAS: 0,30 X 1,00 X 1,00. AF_12/2020</t>
  </si>
  <si>
    <t>2.2.20</t>
  </si>
  <si>
    <t xml:space="preserve">CL 80x80</t>
  </si>
  <si>
    <t xml:space="preserve">CAIXA DE LIGAÇÃO COM DIMENSÕES INTERNAS DE 80 X 80 X  100 CM (C X L X P), COM PAREDE DE 20 CM DE TIJOLO CERÂMICO MACIÇO , COM FUNDO E PAREDES INTERNAS REVESTIDAS DE ARGAMASSA E TAMPA DE VEDAÇÃO DE 15 CM DE CONCRETO ARMADO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</si>
  <si>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</si>
  <si>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</si>
  <si>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</si>
  <si>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</si>
  <si>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</si>
  <si>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</si>
  <si>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</si>
  <si>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</si>
  <si>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</si>
  <si>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</si>
  <si>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</si>
  <si>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</si>
  <si>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</si>
  <si>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</si>
  <si>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</si>
  <si>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</si>
  <si>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</si>
  <si>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</si>
  <si>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</si>
  <si>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</si>
  <si>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</si>
  <si>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2.4</t>
  </si>
  <si>
    <t>2.4.1</t>
  </si>
  <si>
    <t>2.4.2</t>
  </si>
  <si>
    <t>2.4.3</t>
  </si>
  <si>
    <t>3</t>
  </si>
  <si>
    <t xml:space="preserve">RUA FIDELIS FONTANA - ENTRE A RUA OSVALDO RIECK E A RUA AUGUSTO A. ROLIM - TRECHO 03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</si>
  <si>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</si>
  <si>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</si>
  <si>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</si>
  <si>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</si>
  <si>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</si>
  <si>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</si>
  <si>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</si>
  <si>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</si>
  <si>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</si>
  <si>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</si>
  <si>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</si>
  <si>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</si>
  <si>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</si>
  <si>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</si>
  <si>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</si>
  <si>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</si>
  <si>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</si>
  <si>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</si>
  <si>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</si>
  <si>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</si>
  <si>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</si>
  <si>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</si>
  <si>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</si>
  <si>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</si>
  <si>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</si>
  <si>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3.3</t>
  </si>
  <si>
    <t>3.3.1</t>
  </si>
  <si>
    <t>102498</t>
  </si>
  <si>
    <t xml:space="preserve">PINTURA DE MEIO-FIO COM TINTA BRANCA A BASE DE CAL (CAIAÇÃO). AF_05/2021</t>
  </si>
  <si>
    <t>3.3.2</t>
  </si>
  <si>
    <t>3.3.3</t>
  </si>
  <si>
    <t>4</t>
  </si>
  <si>
    <t xml:space="preserve">RUA IANNE THORSTEMBERG - ENTRE A RUA GUILHERME TIMM E A RUA OSVALDO RIECK - TRECHO 04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</si>
  <si>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</si>
  <si>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</si>
  <si>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</si>
  <si>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</si>
  <si>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</si>
  <si>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</si>
  <si>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</si>
  <si>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</si>
  <si>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</si>
  <si>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</si>
  <si>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00037453</t>
  </si>
  <si>
    <t xml:space="preserve">TUBO DE CONCRETO SIMPLES PARA AGUAS PLUVIAIS, CLASSE PS1, COM ENCAIXE MACHO E FEMEA, DIAMETRO NOMINAL DE 600 MM</t>
  </si>
  <si>
    <t>4.2.6</t>
  </si>
  <si>
    <t>92824</t>
  </si>
  <si>
    <t xml:space="preserve">ASSENTAMENTO DE TUBO DE CONCRETO PARA REDES COLETORAS DE ÁGUAS PLUVIAIS, DIÂMETRO DE 600 MM, JUNTA RÍGIDA, INSTALADO EM LOCAL COM ALTO NÍVEL DE INTERFERÊNCIAS (NÃO INCLUI FORNECIMENTO). AF_12/2015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</si>
  <si>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</si>
  <si>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</si>
  <si>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</si>
  <si>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</si>
  <si>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</si>
  <si>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</si>
  <si>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</si>
  <si>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</si>
  <si>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</si>
  <si>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</si>
  <si>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</si>
  <si>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</si>
  <si>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</si>
  <si>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</si>
  <si>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</si>
  <si>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</si>
  <si>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 xml:space="preserve">CP03 - A</t>
  </si>
  <si>
    <t xml:space="preserve">CAIXA DE LIGAÇÃO COM DIMENSÕES INTERNAS DE 60 X 60 X 80 CM (C X L X P), COM PAREDE DE 20 CM DE TIJOLO CERÂMICO MACIÇO , COM FUNDO E PAREDES INTERNAS REVESTIDAS DE ARGAMASSA E TAMPA DE VEDAÇÃO DE 15 CM DE CONCRETO ARMADO</t>
  </si>
  <si>
    <t>4.2.23</t>
  </si>
  <si>
    <t>4.2.24</t>
  </si>
  <si>
    <t>102750</t>
  </si>
  <si>
    <t xml:space="preserve">BOCA PARA BUEIRO SIMPLES TUBULAR D = 60 CM EM CONCRETO, ALAS COM ESCONSIDADE DE 30°, INCLUINDO FÔRMAS E MATERIAIS. AF_07/2021</t>
  </si>
  <si>
    <t>4.2.25</t>
  </si>
  <si>
    <t>DISSI</t>
  </si>
  <si>
    <t xml:space="preserve">DISSIPADOR DE ENERGIA 2,40 X 2,40 M, 10 CM DE PROFUNDIDADE, PAREDES DE CONCRETO FCK = 15 MPA,  E=10 CM, PREENCHIDO POR UMA CAMADA DE PEDRA RACHÃO DE 25 CM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</si>
  <si>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</si>
  <si>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</si>
  <si>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</si>
  <si>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</si>
  <si>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</si>
  <si>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</si>
  <si>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</si>
  <si>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</si>
  <si>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</si>
  <si>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</si>
  <si>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</si>
  <si>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</si>
  <si>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</si>
  <si>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</si>
  <si>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</si>
  <si>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</si>
  <si>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</si>
  <si>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</si>
  <si>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</si>
  <si>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</si>
  <si>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</si>
  <si>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4.4</t>
  </si>
  <si>
    <t>4.4.1</t>
  </si>
  <si>
    <t>4.4.2</t>
  </si>
  <si>
    <t>4.4.3</t>
  </si>
  <si>
    <t>4.4.4</t>
  </si>
  <si>
    <t xml:space="preserve">CP20 - A</t>
  </si>
  <si>
    <t xml:space="preserve">CONFECÇÃO E INSTALAÇÃO DE PLACA R-1, OCTAGONAL COM LADO DE 25 CM, EM CHAPA DE AÇO COM PINTURA REFLETIVA E SUPORTE DE TUBO GALVANIZADO, FIXO EM BASE DE CONCRETO 20*20*40 CM ENTERRADA A 60 CM DE PROFUNDIDADE</t>
  </si>
  <si>
    <t>4.4.5</t>
  </si>
  <si>
    <t>5</t>
  </si>
  <si>
    <t xml:space="preserve">RUA JOSÉ CARLOS DOS SANTOS - ENTRE A RUA 19 DE OUTUBRO E A PONTE SOBRE O ARROIO DO CURTUME - TRECHO 05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</si>
  <si>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</si>
  <si>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</si>
  <si>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</si>
  <si>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</si>
  <si>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</si>
  <si>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</si>
  <si>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</si>
  <si>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</si>
  <si>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</si>
  <si>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</si>
  <si>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</si>
  <si>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</si>
  <si>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</si>
  <si>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</si>
  <si>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</si>
  <si>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</si>
  <si>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</si>
  <si>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</si>
  <si>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</si>
  <si>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</si>
  <si>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</si>
  <si>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</si>
  <si>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</si>
  <si>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</si>
  <si>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</si>
  <si>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97961</t>
  </si>
  <si>
    <t xml:space="preserve">CAIXA PARA BOCA DE LOBO COMBINADA COM GRELHA RETANGULAR, EM ALVENARIA COM BLOCOS DE CONCRETO, DIMENSÕES INTERNAS: 1,3X1X1,2 M. AF_12/2020</t>
  </si>
  <si>
    <t>5.2.21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</si>
  <si>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</si>
  <si>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</si>
  <si>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</si>
  <si>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</si>
  <si>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</si>
  <si>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</si>
  <si>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</si>
  <si>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</si>
  <si>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</si>
  <si>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</si>
  <si>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</si>
  <si>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</si>
  <si>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</si>
  <si>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</si>
  <si>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</si>
  <si>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</si>
  <si>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</si>
  <si>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</si>
  <si>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</si>
  <si>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</si>
  <si>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</si>
  <si>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5.4</t>
  </si>
  <si>
    <t>5.4.1</t>
  </si>
  <si>
    <t>5.4.2</t>
  </si>
  <si>
    <t>5.4.3</t>
  </si>
  <si>
    <t>5.4.4</t>
  </si>
  <si>
    <t>5.4.5</t>
  </si>
  <si>
    <t>6</t>
  </si>
  <si>
    <t xml:space="preserve">RUA LULU ILGENFRITZ - TRECHO ENTRE A AVENIDA 21 DE ABRIL E A RUA CARLOS GUILHERME ERIG - TRECHO 06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</si>
  <si>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</si>
  <si>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</si>
  <si>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</si>
  <si>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</si>
  <si>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</si>
  <si>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</si>
  <si>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</si>
  <si>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</si>
  <si>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</si>
  <si>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</si>
  <si>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</si>
  <si>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</si>
  <si>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</si>
  <si>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</si>
  <si>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</si>
  <si>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</si>
  <si>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</si>
  <si>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</si>
  <si>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</si>
  <si>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</si>
  <si>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</si>
  <si>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</si>
  <si>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</si>
  <si>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</si>
  <si>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</si>
  <si>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6.3</t>
  </si>
  <si>
    <t>6.3.1</t>
  </si>
  <si>
    <t>6.3.2</t>
  </si>
  <si>
    <t>6.3.3</t>
  </si>
  <si>
    <t>6.3.4</t>
  </si>
  <si>
    <t>7</t>
  </si>
  <si>
    <t xml:space="preserve">RUA TIRADENTES - TRECHO ENTRE A RUA 25 DE JULHO E A RUA ÁLVARO CHAVES - TRECHO 07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</si>
  <si>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</si>
  <si>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</si>
  <si>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</si>
  <si>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</si>
  <si>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</si>
  <si>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</si>
  <si>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</si>
  <si>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</si>
  <si>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</si>
  <si>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</si>
  <si>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</si>
  <si>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</si>
  <si>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</si>
  <si>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</si>
  <si>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</si>
  <si>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</si>
  <si>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</si>
  <si>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</si>
  <si>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</si>
  <si>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</si>
  <si>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</si>
  <si>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</si>
  <si>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</si>
  <si>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</si>
  <si>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</si>
  <si>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 xml:space="preserve">Totais -&gt;</t>
  </si>
  <si>
    <t>192.853,55</t>
  </si>
  <si>
    <t>2.128.965,31</t>
  </si>
  <si>
    <t>2.321.818,86</t>
  </si>
  <si>
    <t xml:space="preserve">Total sem BDI</t>
  </si>
  <si>
    <t xml:space="preserve">Total do BDI</t>
  </si>
  <si>
    <t xml:space="preserve">Total Geral</t>
  </si>
  <si>
    <t xml:space="preserve">_______________________________________________________________
Antônio Daniel Boff Vieira
Engenheiro Civil - CREA RS248109
Núcleo de Engenharia e Projetos</t>
  </si>
  <si>
    <t xml:space="preserve">_______________________________________________________________
Thaís Dietrich
Engenheira Civil - CREA RS229926
Núcleo de Engenharia e Projetos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</si>
</sst>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 %"/>
  </numFmts>
  <fonts count="4">
    <font>
      <sz val="11.000000"/>
      <color theme="1"/>
      <name val="Arial"/>
    </font>
    <font>
      <b/>
      <sz val="11.000000"/>
      <name val="Arial"/>
    </font>
    <font>
      <b/>
      <sz val="10.000000"/>
      <name val="Arial"/>
    </font>
    <font>
      <sz val="10.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D8ECF6"/>
        <bgColor rgb="FFD8ECF6"/>
      </patternFill>
    </fill>
    <fill>
      <patternFill patternType="solid">
        <fgColor rgb="FFDFF0D8"/>
        <bgColor rgb="FFDFF0D8"/>
      </patternFill>
    </fill>
    <fill>
      <patternFill patternType="solid">
        <fgColor rgb="FFF7F3DF"/>
        <bgColor rgb="FFF7F3DF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">
    <xf fontId="0" fillId="0" borderId="0" numFmtId="0" xfId="0"/>
    <xf fontId="1" fillId="2" borderId="0" numFmtId="0" xfId="0" applyFont="1" applyFill="1" applyAlignment="1" applyProtection="0">
      <alignment horizontal="left" vertical="top" wrapText="1"/>
    </xf>
    <xf fontId="2" fillId="2" borderId="0" numFmtId="0" xfId="0" applyFont="1" applyFill="1" applyAlignment="1" applyProtection="0">
      <alignment horizontal="left" vertical="top" wrapText="1"/>
    </xf>
    <xf fontId="1" fillId="2" borderId="0" numFmtId="0" xfId="0" applyFont="1" applyFill="1" applyAlignment="1" applyProtection="0">
      <alignment horizontal="center" wrapText="1"/>
    </xf>
    <xf fontId="1" fillId="2" borderId="1" numFmtId="0" xfId="0" applyFont="1" applyFill="1" applyBorder="1" applyAlignment="1" applyProtection="0">
      <alignment horizontal="left" vertical="top" wrapText="1"/>
    </xf>
    <xf fontId="1" fillId="2" borderId="1" numFmtId="0" xfId="0" applyFont="1" applyFill="1" applyBorder="1" applyAlignment="1" applyProtection="0">
      <alignment horizontal="right" vertical="top" wrapText="1"/>
    </xf>
    <xf fontId="1" fillId="2" borderId="1" numFmtId="0" xfId="0" applyFont="1" applyFill="1" applyBorder="1" applyAlignment="1" applyProtection="0">
      <alignment horizontal="center" vertical="top" wrapText="1"/>
    </xf>
    <xf fontId="2" fillId="3" borderId="1" numFmtId="0" xfId="0" applyFont="1" applyFill="1" applyBorder="1" applyAlignment="1" applyProtection="0">
      <alignment horizontal="left" vertical="top" wrapText="1"/>
    </xf>
    <xf fontId="2" fillId="3" borderId="1" numFmtId="0" xfId="0" applyFont="1" applyFill="1" applyBorder="1" applyAlignment="1" applyProtection="0">
      <alignment horizontal="right" vertical="top" wrapText="1"/>
    </xf>
    <xf fontId="2" fillId="3" borderId="1" numFmtId="4" xfId="0" applyNumberFormat="1" applyFont="1" applyFill="1" applyBorder="1" applyAlignment="1" applyProtection="0">
      <alignment horizontal="right" vertical="top" wrapText="1"/>
    </xf>
    <xf fontId="2" fillId="3" borderId="1" numFmtId="160" xfId="0" applyNumberFormat="1" applyFont="1" applyFill="1" applyBorder="1" applyAlignment="1" applyProtection="0">
      <alignment horizontal="right" vertical="top" wrapText="1"/>
    </xf>
    <xf fontId="3" fillId="4" borderId="1" numFmtId="0" xfId="0" applyFont="1" applyFill="1" applyBorder="1" applyAlignment="1" applyProtection="0">
      <alignment horizontal="left" vertical="top" wrapText="1"/>
    </xf>
    <xf fontId="3" fillId="4" borderId="1" numFmtId="0" xfId="0" applyFont="1" applyFill="1" applyBorder="1" applyAlignment="1" applyProtection="0">
      <alignment horizontal="right" vertical="top" wrapText="1"/>
    </xf>
    <xf fontId="3" fillId="4" borderId="1" numFmtId="0" xfId="0" applyFont="1" applyFill="1" applyBorder="1" applyAlignment="1" applyProtection="0">
      <alignment horizontal="center" vertical="top" wrapText="1"/>
    </xf>
    <xf fontId="3" fillId="4" borderId="1" numFmtId="4" xfId="0" applyNumberFormat="1" applyFont="1" applyFill="1" applyBorder="1" applyAlignment="1" applyProtection="0">
      <alignment horizontal="right" vertical="top" wrapText="1"/>
    </xf>
    <xf fontId="3" fillId="4" borderId="1" numFmtId="160" xfId="0" applyNumberFormat="1" applyFont="1" applyFill="1" applyBorder="1" applyAlignment="1" applyProtection="0">
      <alignment horizontal="right" vertical="top" wrapText="1"/>
    </xf>
    <xf fontId="3" fillId="5" borderId="1" numFmtId="0" xfId="0" applyFont="1" applyFill="1" applyBorder="1" applyAlignment="1" applyProtection="0">
      <alignment horizontal="left" vertical="top" wrapText="1"/>
    </xf>
    <xf fontId="3" fillId="5" borderId="1" numFmtId="0" xfId="0" applyFont="1" applyFill="1" applyBorder="1" applyAlignment="1" applyProtection="0">
      <alignment horizontal="right" vertical="top" wrapText="1"/>
    </xf>
    <xf fontId="3" fillId="5" borderId="1" numFmtId="0" xfId="0" applyFont="1" applyFill="1" applyBorder="1" applyAlignment="1" applyProtection="0">
      <alignment horizontal="center" vertical="top" wrapText="1"/>
    </xf>
    <xf fontId="3" fillId="5" borderId="1" numFmtId="4" xfId="0" applyNumberFormat="1" applyFont="1" applyFill="1" applyBorder="1" applyAlignment="1" applyProtection="0">
      <alignment horizontal="right" vertical="top" wrapText="1"/>
    </xf>
    <xf fontId="3" fillId="5" borderId="1" numFmtId="160" xfId="0" applyNumberFormat="1" applyFont="1" applyFill="1" applyBorder="1" applyAlignment="1" applyProtection="0">
      <alignment horizontal="right" vertical="top" wrapText="1"/>
    </xf>
    <xf fontId="2" fillId="2" borderId="0" numFmtId="0" xfId="0" applyFont="1" applyFill="1" applyAlignment="1" applyProtection="0">
      <alignment horizontal="right" vertical="top" wrapText="1"/>
    </xf>
    <xf fontId="3" fillId="2" borderId="0" numFmtId="0" xfId="0" applyFont="1" applyFill="1" applyAlignment="1" applyProtection="0">
      <alignment horizontal="center" vertical="top" wrapText="1"/>
    </xf>
    <xf fontId="3" fillId="2" borderId="0" numFmtId="0" xfId="0" applyFont="1" applyFill="1" applyAlignment="1" applyProtection="0">
      <alignment horizontal="left" vertical="top" wrapText="1"/>
    </xf>
    <xf fontId="2" fillId="2" borderId="0" numFmtId="4" xfId="0" applyNumberFormat="1" applyFont="1" applyFill="1" applyAlignment="1" applyProtection="0">
      <alignment horizontal="right" vertical="top" wrapText="1"/>
    </xf>
    <xf fontId="2" fillId="2" borderId="0" numFmtId="0" xfId="0" applyFont="1" applyFill="1" applyAlignment="1" applyProtection="0">
      <alignment horizontal="center" vertical="top" wrapText="1"/>
    </xf>
  </cellXfs>
  <cellStyles count="2">
    <cellStyle name="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0</xdr:colOff>
      <xdr:row>0</xdr:row>
      <xdr:rowOff>0</xdr:rowOff>
    </xdr:from>
    <xdr:ext cx="1333500" cy="1314450"/>
    <xdr:pic>
      <xdr:nvPicPr>
        <xdr:cNvPr id="2" name="" descr=""/>
        <xdr:cNvPicPr>
          <a:picLocks noChangeAspect="1" noMove="1" noSelect="1"/>
        </xdr:cNvPicPr>
      </xdr:nvPicPr>
      <xdr:blipFill>
        <a:blip r:embed="rId1"/>
        <a:stretch/>
      </xdr:blipFill>
      <xdr:spPr bwMode="auto"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1" showRowColHeaders="1" showZeros="1" topLeftCell="A281" zoomScale="100" workbookViewId="0">
      <selection activeCell="A1" activeCellId="0" sqref="A1"/>
    </sheetView>
  </sheetViews>
  <sheetFormatPr baseColWidth="8" defaultRowHeight="14.25"/>
  <cols>
    <col bestFit="1" customWidth="1" min="1" max="3" width="10"/>
    <col bestFit="1" customWidth="1" min="4" max="4" width="60"/>
    <col bestFit="1" customWidth="1" min="5" max="5" width="5"/>
    <col bestFit="1" customWidth="1" min="6" max="11" width="10"/>
    <col customWidth="1" min="12" max="12" width="12.25390625"/>
    <col customWidth="1" min="13" max="13" width="12.00390625"/>
    <col bestFit="1" customWidth="1" min="14" max="14" width="10"/>
  </cols>
  <sheetData>
    <row r="1">
      <c r="A1" s="1"/>
      <c r="B1" s="1"/>
      <c r="C1" s="1"/>
      <c r="D1" s="1" t="s">
        <v>0</v>
      </c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/>
    </row>
    <row r="2" ht="80" customHeight="1">
      <c r="A2" s="2"/>
      <c r="B2" s="2"/>
      <c r="C2" s="2"/>
      <c r="D2" s="2" t="s">
        <v>4</v>
      </c>
      <c r="E2" s="2" t="s">
        <v>5</v>
      </c>
      <c r="F2" s="2"/>
      <c r="G2" s="2"/>
      <c r="H2" s="2" t="s">
        <v>6</v>
      </c>
      <c r="I2" s="2"/>
      <c r="J2" s="2"/>
      <c r="K2" s="2" t="s">
        <v>7</v>
      </c>
      <c r="L2" s="2"/>
      <c r="M2" s="2"/>
      <c r="N2" s="2"/>
    </row>
    <row r="3">
      <c r="A3" s="3" t="s">
        <v>8</v>
      </c>
    </row>
    <row r="4" ht="15" customHeight="1">
      <c r="A4" s="4" t="s">
        <v>9</v>
      </c>
      <c r="B4" s="5" t="s">
        <v>10</v>
      </c>
      <c r="C4" s="4" t="s">
        <v>11</v>
      </c>
      <c r="D4" s="4" t="s">
        <v>12</v>
      </c>
      <c r="E4" s="6" t="s">
        <v>13</v>
      </c>
      <c r="F4" s="5" t="s">
        <v>14</v>
      </c>
      <c r="G4" s="5" t="s">
        <v>15</v>
      </c>
      <c r="H4" s="6" t="s">
        <v>16</v>
      </c>
      <c r="I4" s="4"/>
      <c r="J4" s="4"/>
      <c r="K4" s="6" t="s">
        <v>17</v>
      </c>
      <c r="L4" s="4"/>
      <c r="M4" s="4"/>
      <c r="N4" s="5" t="s">
        <v>18</v>
      </c>
    </row>
    <row r="5" ht="15" customHeight="1">
      <c r="A5" s="5"/>
      <c r="B5" s="5"/>
      <c r="C5" s="5"/>
      <c r="D5" s="5"/>
      <c r="E5" s="5"/>
      <c r="F5" s="5"/>
      <c r="G5" s="5"/>
      <c r="H5" s="5" t="s">
        <v>19</v>
      </c>
      <c r="I5" s="5" t="s">
        <v>20</v>
      </c>
      <c r="J5" s="5" t="s">
        <v>17</v>
      </c>
      <c r="K5" s="5" t="s">
        <v>19</v>
      </c>
      <c r="L5" s="5" t="s">
        <v>20</v>
      </c>
      <c r="M5" s="5" t="s">
        <v>17</v>
      </c>
      <c r="N5" s="5"/>
    </row>
    <row r="6" ht="26" customHeight="1">
      <c r="A6" s="7" t="s">
        <v>21</v>
      </c>
      <c r="B6" s="7"/>
      <c r="C6" s="7"/>
      <c r="D6" s="7" t="s">
        <v>22</v>
      </c>
      <c r="E6" s="7"/>
      <c r="F6" s="8"/>
      <c r="G6" s="7"/>
      <c r="H6" s="7"/>
      <c r="I6" s="7"/>
      <c r="J6" s="7"/>
      <c r="K6" s="7"/>
      <c r="L6" s="7"/>
      <c r="M6" s="9">
        <v>129702.75</v>
      </c>
      <c r="N6" s="10">
        <f t="shared" ref="N6:N9" si="0">m6 / 2321818.86</f>
        <v>5.5862561991593097e-002</v>
      </c>
    </row>
    <row r="7" ht="24" customHeight="1">
      <c r="A7" s="7" t="s">
        <v>23</v>
      </c>
      <c r="B7" s="7"/>
      <c r="C7" s="7"/>
      <c r="D7" s="7" t="s">
        <v>24</v>
      </c>
      <c r="E7" s="7"/>
      <c r="F7" s="8"/>
      <c r="G7" s="7"/>
      <c r="H7" s="7"/>
      <c r="I7" s="7"/>
      <c r="J7" s="7"/>
      <c r="K7" s="7"/>
      <c r="L7" s="7"/>
      <c r="M7" s="9">
        <v>5204.04</v>
      </c>
      <c r="N7" s="10">
        <f t="shared" si="0"/>
        <v>2.2413634800089446e-003</v>
      </c>
    </row>
    <row r="8" ht="26" customHeight="1">
      <c r="A8" s="11" t="s">
        <v>25</v>
      </c>
      <c r="B8" s="12" t="s">
        <v>26</v>
      </c>
      <c r="C8" s="11" t="s">
        <v>27</v>
      </c>
      <c r="D8" s="11" t="s">
        <v>28</v>
      </c>
      <c r="E8" s="13" t="s">
        <v>29</v>
      </c>
      <c r="F8" s="12">
        <v>1</v>
      </c>
      <c r="G8" s="14">
        <v>1350.4000000000001</v>
      </c>
      <c r="H8" s="14">
        <v>92.140000000000001</v>
      </c>
      <c r="I8" s="14">
        <v>1532.79</v>
      </c>
      <c r="J8" s="14">
        <f t="shared" ref="J8:J9" si="1">TRUNC(G8 * (1 + 20.33 / 100), 2)</f>
        <v>1624.9300000000001</v>
      </c>
      <c r="K8" s="14">
        <f t="shared" ref="K8:K9" si="2">TRUNC(F8 * h8, 2)</f>
        <v>92.140000000000001</v>
      </c>
      <c r="L8" s="14">
        <f t="shared" ref="L8:L9" si="3">m8 - k8</f>
        <v>1532.79</v>
      </c>
      <c r="M8" s="14">
        <f t="shared" ref="M8:M9" si="4">TRUNC(F8 * j8, 2)</f>
        <v>1624.9300000000001</v>
      </c>
      <c r="N8" s="15">
        <f t="shared" si="0"/>
        <v>6.9985218398992599e-004</v>
      </c>
    </row>
    <row r="9" ht="24" customHeight="1">
      <c r="A9" s="11" t="s">
        <v>30</v>
      </c>
      <c r="B9" s="12" t="s">
        <v>31</v>
      </c>
      <c r="C9" s="11" t="s">
        <v>27</v>
      </c>
      <c r="D9" s="11" t="s">
        <v>32</v>
      </c>
      <c r="E9" s="13" t="s">
        <v>33</v>
      </c>
      <c r="F9" s="12">
        <v>1566.1700000000001</v>
      </c>
      <c r="G9" s="14">
        <v>1.4099999999999999</v>
      </c>
      <c r="H9" s="14">
        <v>1.6299999999999999</v>
      </c>
      <c r="I9" s="14">
        <v>5.9999999999999998e-002</v>
      </c>
      <c r="J9" s="14">
        <f t="shared" si="1"/>
        <v>1.6899999999999999</v>
      </c>
      <c r="K9" s="14">
        <f t="shared" si="2"/>
        <v>2552.8499999999999</v>
      </c>
      <c r="L9" s="14">
        <f t="shared" si="3"/>
        <v>93.970000000000255</v>
      </c>
      <c r="M9" s="14">
        <f t="shared" si="4"/>
        <v>2646.8200000000002</v>
      </c>
      <c r="N9" s="15">
        <f t="shared" si="0"/>
        <v>1.1399769575478427e-003</v>
      </c>
    </row>
    <row r="10" ht="24" customHeight="1">
      <c r="A10" s="11" t="s">
        <v>34</v>
      </c>
      <c r="B10" s="12" t="s">
        <v>35</v>
      </c>
      <c r="C10" s="11" t="s">
        <v>36</v>
      </c>
      <c r="D10" s="11" t="s">
        <v>37</v>
      </c>
      <c r="E10" s="13" t="s">
        <v>38</v>
      </c>
      <c r="F10" s="12">
        <v>112.19</v>
      </c>
      <c r="G10" s="14">
        <v>0.64000000000000001</v>
      </c>
      <c r="H10" s="14">
        <v>0.66000000000000003</v>
      </c>
      <c r="I10" s="14">
        <v>0.11</v>
      </c>
      <c r="J10" s="14">
        <f t="shared" ref="J10:J15" si="5">TRUNC(G10 * (1 + 20.33 / 100), 2)</f>
        <v>0.77000000000000002</v>
      </c>
      <c r="K10" s="14">
        <f t="shared" ref="K10:K73" si="6">TRUNC(F10 * h10, 2)</f>
        <v>74.040000000000006</v>
      </c>
      <c r="L10" s="14">
        <f t="shared" ref="L10:L73" si="7">m10 - k10</f>
        <v>12.339999999999989</v>
      </c>
      <c r="M10" s="14">
        <f t="shared" ref="M10:M15" si="8">TRUNC(F10 * j10, 2)</f>
        <v>86.379999999999995</v>
      </c>
      <c r="N10" s="15">
        <f t="shared" ref="N10:N73" si="9">m10 / 2321818.86</f>
        <v>3.7203591325810836e-005</v>
      </c>
    </row>
    <row r="11" ht="26" customHeight="1">
      <c r="A11" s="11" t="s">
        <v>39</v>
      </c>
      <c r="B11" s="12" t="s">
        <v>40</v>
      </c>
      <c r="C11" s="11" t="s">
        <v>36</v>
      </c>
      <c r="D11" s="11" t="s">
        <v>41</v>
      </c>
      <c r="E11" s="13" t="s">
        <v>33</v>
      </c>
      <c r="F11" s="12">
        <v>224.38</v>
      </c>
      <c r="G11" s="14">
        <v>3.1400000000000001</v>
      </c>
      <c r="H11" s="14">
        <v>2.8500000000000001</v>
      </c>
      <c r="I11" s="14">
        <v>0.92000000000000004</v>
      </c>
      <c r="J11" s="14">
        <f t="shared" si="5"/>
        <v>3.77</v>
      </c>
      <c r="K11" s="14">
        <f t="shared" si="6"/>
        <v>639.48000000000002</v>
      </c>
      <c r="L11" s="14">
        <f t="shared" si="7"/>
        <v>206.42999999999995</v>
      </c>
      <c r="M11" s="14">
        <f t="shared" si="8"/>
        <v>845.90999999999997</v>
      </c>
      <c r="N11" s="15">
        <f t="shared" si="9"/>
        <v>3.6433074714536517e-004</v>
      </c>
    </row>
    <row r="12" ht="24" customHeight="1">
      <c r="A12" s="7" t="s">
        <v>42</v>
      </c>
      <c r="B12" s="7"/>
      <c r="C12" s="7"/>
      <c r="D12" s="7" t="s">
        <v>43</v>
      </c>
      <c r="E12" s="7"/>
      <c r="F12" s="8"/>
      <c r="G12" s="7"/>
      <c r="H12" s="7"/>
      <c r="I12" s="7"/>
      <c r="J12" s="7"/>
      <c r="K12" s="7"/>
      <c r="L12" s="7"/>
      <c r="M12" s="9">
        <v>120493.78999999999</v>
      </c>
      <c r="N12" s="10">
        <f t="shared" si="9"/>
        <v>5.1896292202570873e-002</v>
      </c>
    </row>
    <row r="13" ht="24" customHeight="1">
      <c r="A13" s="11" t="s">
        <v>44</v>
      </c>
      <c r="B13" s="12" t="s">
        <v>45</v>
      </c>
      <c r="C13" s="11" t="s">
        <v>27</v>
      </c>
      <c r="D13" s="11" t="s">
        <v>46</v>
      </c>
      <c r="E13" s="13" t="s">
        <v>38</v>
      </c>
      <c r="F13" s="12">
        <v>36</v>
      </c>
      <c r="G13" s="14">
        <v>12.32</v>
      </c>
      <c r="H13" s="14">
        <v>11.25</v>
      </c>
      <c r="I13" s="14">
        <v>3.5699999999999998</v>
      </c>
      <c r="J13" s="14">
        <f t="shared" si="5"/>
        <v>14.82</v>
      </c>
      <c r="K13" s="14">
        <f t="shared" si="6"/>
        <v>405</v>
      </c>
      <c r="L13" s="14">
        <f t="shared" si="7"/>
        <v>128.51999999999998</v>
      </c>
      <c r="M13" s="14">
        <f t="shared" si="8"/>
        <v>533.51999999999998</v>
      </c>
      <c r="N13" s="15">
        <f t="shared" si="9"/>
        <v>2.2978536749417223e-004</v>
      </c>
    </row>
    <row r="14" ht="65" customHeight="1">
      <c r="A14" s="11" t="s">
        <v>47</v>
      </c>
      <c r="B14" s="12" t="s">
        <v>48</v>
      </c>
      <c r="C14" s="11" t="s">
        <v>27</v>
      </c>
      <c r="D14" s="11" t="s">
        <v>49</v>
      </c>
      <c r="E14" s="13" t="s">
        <v>38</v>
      </c>
      <c r="F14" s="12">
        <v>36</v>
      </c>
      <c r="G14" s="14">
        <v>55.740000000000002</v>
      </c>
      <c r="H14" s="14">
        <v>18.23</v>
      </c>
      <c r="I14" s="14">
        <v>48.840000000000003</v>
      </c>
      <c r="J14" s="14">
        <f t="shared" si="5"/>
        <v>67.069999999999993</v>
      </c>
      <c r="K14" s="14">
        <f t="shared" si="6"/>
        <v>656.27999999999997</v>
      </c>
      <c r="L14" s="14">
        <f t="shared" si="7"/>
        <v>1758.2300000000002</v>
      </c>
      <c r="M14" s="14">
        <f t="shared" si="8"/>
        <v>2414.5100000000002</v>
      </c>
      <c r="N14" s="15">
        <f t="shared" si="9"/>
        <v>1.0399217792554242e-003</v>
      </c>
    </row>
    <row r="15" ht="39" customHeight="1">
      <c r="A15" s="11" t="s">
        <v>50</v>
      </c>
      <c r="B15" s="12" t="s">
        <v>51</v>
      </c>
      <c r="C15" s="11" t="s">
        <v>27</v>
      </c>
      <c r="D15" s="11" t="s">
        <v>52</v>
      </c>
      <c r="E15" s="13" t="s">
        <v>33</v>
      </c>
      <c r="F15" s="12">
        <v>1566.1700000000001</v>
      </c>
      <c r="G15" s="14">
        <v>1.04</v>
      </c>
      <c r="H15" s="14">
        <v>0.42999999999999999</v>
      </c>
      <c r="I15" s="14">
        <v>0.81999999999999995</v>
      </c>
      <c r="J15" s="14">
        <f t="shared" si="5"/>
        <v>1.25</v>
      </c>
      <c r="K15" s="14">
        <f t="shared" si="6"/>
        <v>673.45000000000005</v>
      </c>
      <c r="L15" s="14">
        <f t="shared" si="7"/>
        <v>1284.26</v>
      </c>
      <c r="M15" s="14">
        <f t="shared" si="8"/>
        <v>1957.71</v>
      </c>
      <c r="N15" s="15">
        <f t="shared" si="9"/>
        <v>8.4317947180427338e-004</v>
      </c>
    </row>
    <row r="16" ht="24" customHeight="1">
      <c r="A16" s="16" t="s">
        <v>53</v>
      </c>
      <c r="B16" s="17" t="s">
        <v>54</v>
      </c>
      <c r="C16" s="16" t="s">
        <v>27</v>
      </c>
      <c r="D16" s="16" t="s">
        <v>55</v>
      </c>
      <c r="E16" s="18" t="s">
        <v>56</v>
      </c>
      <c r="F16" s="17">
        <v>704.77999999999997</v>
      </c>
      <c r="G16" s="19">
        <v>3.2200000000000002</v>
      </c>
      <c r="H16" s="19">
        <v>0</v>
      </c>
      <c r="I16" s="19">
        <v>3.7000000000000002</v>
      </c>
      <c r="J16" s="19" t="str">
        <f t="shared" ref="J16:J18" si="10">TRUNC(G16 * (1 + 15.0 / 100), 2) &amp;CHAR(10)&amp; "(15.0%)"</f>
        <v xml:space="preserve">3.7
(15.0%)</v>
      </c>
      <c r="K16" s="19">
        <f t="shared" si="6"/>
        <v>0</v>
      </c>
      <c r="L16" s="19">
        <f t="shared" si="7"/>
        <v>2607.6799999999998</v>
      </c>
      <c r="M16" s="19">
        <f t="shared" ref="M16:M18" si="11">TRUNC(F16 * TRUNC(G16 * (1 + 15.0 / 100), 2), 2)</f>
        <v>2607.6799999999998</v>
      </c>
      <c r="N16" s="20">
        <f t="shared" si="9"/>
        <v>1.1231194840066034e-003</v>
      </c>
    </row>
    <row r="17" ht="39" customHeight="1">
      <c r="A17" s="11" t="s">
        <v>57</v>
      </c>
      <c r="B17" s="12" t="s">
        <v>58</v>
      </c>
      <c r="C17" s="11" t="s">
        <v>36</v>
      </c>
      <c r="D17" s="11" t="s">
        <v>59</v>
      </c>
      <c r="E17" s="13" t="s">
        <v>60</v>
      </c>
      <c r="F17" s="12">
        <v>21.140000000000001</v>
      </c>
      <c r="G17" s="14">
        <v>1.3799999999999999</v>
      </c>
      <c r="H17" s="14">
        <v>0.11</v>
      </c>
      <c r="I17" s="14">
        <v>1.47</v>
      </c>
      <c r="J17" s="14" t="str">
        <f t="shared" si="10"/>
        <v xml:space="preserve">1.58
(15.0%)</v>
      </c>
      <c r="K17" s="14">
        <f t="shared" si="6"/>
        <v>2.3199999999999998</v>
      </c>
      <c r="L17" s="14">
        <f t="shared" si="7"/>
        <v>31.079999999999998</v>
      </c>
      <c r="M17" s="14">
        <f t="shared" si="11"/>
        <v>33.399999999999999</v>
      </c>
      <c r="N17" s="15">
        <f t="shared" si="9"/>
        <v>1.4385273793494812e-005</v>
      </c>
    </row>
    <row r="18" ht="52" customHeight="1">
      <c r="A18" s="11" t="s">
        <v>61</v>
      </c>
      <c r="B18" s="12" t="s">
        <v>62</v>
      </c>
      <c r="C18" s="11" t="s">
        <v>36</v>
      </c>
      <c r="D18" s="11" t="s">
        <v>63</v>
      </c>
      <c r="E18" s="13" t="s">
        <v>60</v>
      </c>
      <c r="F18" s="12">
        <v>116.29000000000001</v>
      </c>
      <c r="G18" s="14">
        <v>0.54000000000000004</v>
      </c>
      <c r="H18" s="14">
        <v>2.9999999999999999e-002</v>
      </c>
      <c r="I18" s="14">
        <v>0.58999999999999997</v>
      </c>
      <c r="J18" s="14" t="str">
        <f t="shared" si="10"/>
        <v xml:space="preserve">0.62
(15.0%)</v>
      </c>
      <c r="K18" s="14">
        <f t="shared" si="6"/>
        <v>3.48</v>
      </c>
      <c r="L18" s="14">
        <f t="shared" si="7"/>
        <v>68.609999999999999</v>
      </c>
      <c r="M18" s="14">
        <f t="shared" si="11"/>
        <v>72.090000000000003</v>
      </c>
      <c r="N18" s="15">
        <f t="shared" si="9"/>
        <v>3.1048933765659912e-005</v>
      </c>
    </row>
    <row r="19" ht="26" customHeight="1">
      <c r="A19" s="11" t="s">
        <v>64</v>
      </c>
      <c r="B19" s="12" t="s">
        <v>65</v>
      </c>
      <c r="C19" s="11" t="s">
        <v>66</v>
      </c>
      <c r="D19" s="11" t="s">
        <v>67</v>
      </c>
      <c r="E19" s="13" t="s">
        <v>68</v>
      </c>
      <c r="F19" s="12">
        <v>150.36000000000001</v>
      </c>
      <c r="G19" s="14">
        <v>186.06999999999999</v>
      </c>
      <c r="H19" s="14">
        <v>3</v>
      </c>
      <c r="I19" s="14">
        <v>220.88999999999999</v>
      </c>
      <c r="J19" s="14">
        <f>TRUNC(G19 * (1 + 20.33 / 100), 2)</f>
        <v>223.88999999999999</v>
      </c>
      <c r="K19" s="14">
        <f t="shared" si="6"/>
        <v>451.07999999999998</v>
      </c>
      <c r="L19" s="14">
        <f t="shared" si="7"/>
        <v>33213.019999999997</v>
      </c>
      <c r="M19" s="14">
        <f>TRUNC(F19 * j19, 2)</f>
        <v>33664.099999999999</v>
      </c>
      <c r="N19" s="15">
        <f t="shared" si="9"/>
        <v>1.449902082370026e-002</v>
      </c>
    </row>
    <row r="20" ht="26" customHeight="1">
      <c r="A20" s="16" t="s">
        <v>69</v>
      </c>
      <c r="B20" s="17" t="s">
        <v>70</v>
      </c>
      <c r="C20" s="16" t="s">
        <v>27</v>
      </c>
      <c r="D20" s="16" t="s">
        <v>71</v>
      </c>
      <c r="E20" s="18" t="s">
        <v>68</v>
      </c>
      <c r="F20" s="17">
        <v>8.6500000000000004</v>
      </c>
      <c r="G20" s="19">
        <v>3771.0900000000001</v>
      </c>
      <c r="H20" s="19">
        <v>0</v>
      </c>
      <c r="I20" s="19">
        <v>4336.75</v>
      </c>
      <c r="J20" s="19" t="str">
        <f>TRUNC(G20 * (1 + 15.0 / 100), 2) &amp;CHAR(10)&amp; "(15.0%)"</f>
        <v xml:space="preserve">4336.75
(15.0%)</v>
      </c>
      <c r="K20" s="19">
        <f t="shared" si="6"/>
        <v>0</v>
      </c>
      <c r="L20" s="19">
        <f t="shared" si="7"/>
        <v>37512.879999999997</v>
      </c>
      <c r="M20" s="19">
        <f>TRUNC(F20 * TRUNC(G20 * (1 + 15.0 / 100), 2), 2)</f>
        <v>37512.879999999997</v>
      </c>
      <c r="N20" s="20">
        <f t="shared" si="9"/>
        <v>1.6156678131213045e-002</v>
      </c>
    </row>
    <row r="21" ht="39" customHeight="1">
      <c r="A21" s="11" t="s">
        <v>72</v>
      </c>
      <c r="B21" s="12" t="s">
        <v>73</v>
      </c>
      <c r="C21" s="11" t="s">
        <v>36</v>
      </c>
      <c r="D21" s="11" t="s">
        <v>74</v>
      </c>
      <c r="E21" s="13" t="s">
        <v>60</v>
      </c>
      <c r="F21" s="12">
        <v>3067.3400000000001</v>
      </c>
      <c r="G21" s="14">
        <v>1.6100000000000001</v>
      </c>
      <c r="H21" s="14">
        <v>0.19</v>
      </c>
      <c r="I21" s="14">
        <v>1.74</v>
      </c>
      <c r="J21" s="14">
        <f>TRUNC(G21 * (1 + 20.33 / 100), 2)</f>
        <v>1.9299999999999999</v>
      </c>
      <c r="K21" s="14">
        <f t="shared" si="6"/>
        <v>582.78999999999996</v>
      </c>
      <c r="L21" s="14">
        <f t="shared" si="7"/>
        <v>5337.1700000000001</v>
      </c>
      <c r="M21" s="14">
        <f>TRUNC(F21 * j21, 2)</f>
        <v>5919.96</v>
      </c>
      <c r="N21" s="15">
        <f t="shared" si="9"/>
        <v>2.5497079475011244e-003</v>
      </c>
    </row>
    <row r="22" ht="39" customHeight="1">
      <c r="A22" s="11" t="s">
        <v>75</v>
      </c>
      <c r="B22" s="12" t="s">
        <v>58</v>
      </c>
      <c r="C22" s="11" t="s">
        <v>36</v>
      </c>
      <c r="D22" s="11" t="s">
        <v>59</v>
      </c>
      <c r="E22" s="13" t="s">
        <v>60</v>
      </c>
      <c r="F22" s="12">
        <v>259.5</v>
      </c>
      <c r="G22" s="14">
        <v>1.3799999999999999</v>
      </c>
      <c r="H22" s="14">
        <v>0.11</v>
      </c>
      <c r="I22" s="14">
        <v>1.47</v>
      </c>
      <c r="J22" s="14" t="str">
        <f t="shared" ref="J22:J23" si="12">TRUNC(G22 * (1 + 15.0 / 100), 2) &amp;CHAR(10)&amp; "(15.0%)"</f>
        <v xml:space="preserve">1.58
(15.0%)</v>
      </c>
      <c r="K22" s="14">
        <f t="shared" si="6"/>
        <v>28.539999999999999</v>
      </c>
      <c r="L22" s="14">
        <f t="shared" si="7"/>
        <v>381.46999999999997</v>
      </c>
      <c r="M22" s="14">
        <f t="shared" ref="M22:M23" si="13">TRUNC(F22 * TRUNC(G22 * (1 + 15.0 / 100), 2), 2)</f>
        <v>410.00999999999999</v>
      </c>
      <c r="N22" s="15">
        <f t="shared" si="9"/>
        <v>1.7659000323565294e-004</v>
      </c>
    </row>
    <row r="23" ht="52" customHeight="1">
      <c r="A23" s="11" t="s">
        <v>76</v>
      </c>
      <c r="B23" s="12" t="s">
        <v>62</v>
      </c>
      <c r="C23" s="11" t="s">
        <v>36</v>
      </c>
      <c r="D23" s="11" t="s">
        <v>63</v>
      </c>
      <c r="E23" s="13" t="s">
        <v>60</v>
      </c>
      <c r="F23" s="12">
        <v>3200.5</v>
      </c>
      <c r="G23" s="14">
        <v>0.54000000000000004</v>
      </c>
      <c r="H23" s="14">
        <v>2.9999999999999999e-002</v>
      </c>
      <c r="I23" s="14">
        <v>0.58999999999999997</v>
      </c>
      <c r="J23" s="14" t="str">
        <f t="shared" si="12"/>
        <v xml:space="preserve">0.62
(15.0%)</v>
      </c>
      <c r="K23" s="14">
        <f t="shared" si="6"/>
        <v>96.010000000000005</v>
      </c>
      <c r="L23" s="14">
        <f t="shared" si="7"/>
        <v>1888.3</v>
      </c>
      <c r="M23" s="14">
        <f t="shared" si="13"/>
        <v>1984.3099999999999</v>
      </c>
      <c r="N23" s="15">
        <f t="shared" si="9"/>
        <v>8.5463600722064941e-004</v>
      </c>
    </row>
    <row r="24" ht="39" customHeight="1">
      <c r="A24" s="11" t="s">
        <v>77</v>
      </c>
      <c r="B24" s="12" t="s">
        <v>51</v>
      </c>
      <c r="C24" s="11" t="s">
        <v>27</v>
      </c>
      <c r="D24" s="11" t="s">
        <v>52</v>
      </c>
      <c r="E24" s="13" t="s">
        <v>33</v>
      </c>
      <c r="F24" s="12">
        <v>785.33000000000004</v>
      </c>
      <c r="G24" s="14">
        <v>1.04</v>
      </c>
      <c r="H24" s="14">
        <v>0.42999999999999999</v>
      </c>
      <c r="I24" s="14">
        <v>0.81999999999999995</v>
      </c>
      <c r="J24" s="14">
        <f>TRUNC(G24 * (1 + 20.33 / 100), 2)</f>
        <v>1.25</v>
      </c>
      <c r="K24" s="14">
        <f t="shared" si="6"/>
        <v>337.69</v>
      </c>
      <c r="L24" s="14">
        <f t="shared" si="7"/>
        <v>643.97000000000003</v>
      </c>
      <c r="M24" s="14">
        <f>TRUNC(F24 * j24, 2)</f>
        <v>981.65999999999997</v>
      </c>
      <c r="N24" s="15">
        <f t="shared" si="9"/>
        <v>4.2279784048269813e-004</v>
      </c>
    </row>
    <row r="25" ht="24" customHeight="1">
      <c r="A25" s="16" t="s">
        <v>78</v>
      </c>
      <c r="B25" s="17" t="s">
        <v>54</v>
      </c>
      <c r="C25" s="16" t="s">
        <v>27</v>
      </c>
      <c r="D25" s="16" t="s">
        <v>55</v>
      </c>
      <c r="E25" s="18" t="s">
        <v>56</v>
      </c>
      <c r="F25" s="17">
        <v>353.39999999999998</v>
      </c>
      <c r="G25" s="19">
        <v>3.2200000000000002</v>
      </c>
      <c r="H25" s="19">
        <v>0</v>
      </c>
      <c r="I25" s="19">
        <v>3.7000000000000002</v>
      </c>
      <c r="J25" s="19" t="str">
        <f t="shared" ref="J25:J27" si="14">TRUNC(G25 * (1 + 15.0 / 100), 2) &amp;CHAR(10)&amp; "(15.0%)"</f>
        <v xml:space="preserve">3.7
(15.0%)</v>
      </c>
      <c r="K25" s="19">
        <f t="shared" si="6"/>
        <v>0</v>
      </c>
      <c r="L25" s="19">
        <f t="shared" si="7"/>
        <v>1307.5799999999999</v>
      </c>
      <c r="M25" s="19">
        <f t="shared" ref="M25:M27" si="15">TRUNC(F25 * TRUNC(G25 * (1 + 15.0 / 100), 2), 2)</f>
        <v>1307.5799999999999</v>
      </c>
      <c r="N25" s="20">
        <f t="shared" si="9"/>
        <v>5.6317054811071696e-004</v>
      </c>
    </row>
    <row r="26" ht="39" customHeight="1">
      <c r="A26" s="11" t="s">
        <v>79</v>
      </c>
      <c r="B26" s="12" t="s">
        <v>58</v>
      </c>
      <c r="C26" s="11" t="s">
        <v>36</v>
      </c>
      <c r="D26" s="11" t="s">
        <v>59</v>
      </c>
      <c r="E26" s="13" t="s">
        <v>60</v>
      </c>
      <c r="F26" s="12">
        <v>10.6</v>
      </c>
      <c r="G26" s="14">
        <v>1.3799999999999999</v>
      </c>
      <c r="H26" s="14">
        <v>0.11</v>
      </c>
      <c r="I26" s="14">
        <v>1.47</v>
      </c>
      <c r="J26" s="14" t="str">
        <f t="shared" si="14"/>
        <v xml:space="preserve">1.58
(15.0%)</v>
      </c>
      <c r="K26" s="14">
        <f t="shared" si="6"/>
        <v>1.1599999999999999</v>
      </c>
      <c r="L26" s="14">
        <f t="shared" si="7"/>
        <v>15.579999999999998</v>
      </c>
      <c r="M26" s="14">
        <f t="shared" si="15"/>
        <v>16.739999999999998</v>
      </c>
      <c r="N26" s="15">
        <f t="shared" si="9"/>
        <v>7.2098647695539864e-006</v>
      </c>
    </row>
    <row r="27" ht="52" customHeight="1">
      <c r="A27" s="11" t="s">
        <v>80</v>
      </c>
      <c r="B27" s="12" t="s">
        <v>62</v>
      </c>
      <c r="C27" s="11" t="s">
        <v>36</v>
      </c>
      <c r="D27" s="11" t="s">
        <v>63</v>
      </c>
      <c r="E27" s="13" t="s">
        <v>60</v>
      </c>
      <c r="F27" s="12">
        <v>58.310000000000002</v>
      </c>
      <c r="G27" s="14">
        <v>0.54000000000000004</v>
      </c>
      <c r="H27" s="14">
        <v>2.9999999999999999e-002</v>
      </c>
      <c r="I27" s="14">
        <v>0.58999999999999997</v>
      </c>
      <c r="J27" s="14" t="str">
        <f t="shared" si="14"/>
        <v xml:space="preserve">0.62
(15.0%)</v>
      </c>
      <c r="K27" s="14">
        <f t="shared" si="6"/>
        <v>1.74</v>
      </c>
      <c r="L27" s="14">
        <f t="shared" si="7"/>
        <v>34.409999999999997</v>
      </c>
      <c r="M27" s="14">
        <f t="shared" si="15"/>
        <v>36.149999999999999</v>
      </c>
      <c r="N27" s="15">
        <f t="shared" si="9"/>
        <v>1.5569690048947229e-005</v>
      </c>
    </row>
    <row r="28" ht="26" customHeight="1">
      <c r="A28" s="11" t="s">
        <v>81</v>
      </c>
      <c r="B28" s="12" t="s">
        <v>65</v>
      </c>
      <c r="C28" s="11" t="s">
        <v>66</v>
      </c>
      <c r="D28" s="11" t="s">
        <v>67</v>
      </c>
      <c r="E28" s="13" t="s">
        <v>68</v>
      </c>
      <c r="F28" s="12">
        <v>60.079999999999998</v>
      </c>
      <c r="G28" s="14">
        <v>186.06999999999999</v>
      </c>
      <c r="H28" s="14">
        <v>3</v>
      </c>
      <c r="I28" s="14">
        <v>220.88999999999999</v>
      </c>
      <c r="J28" s="14">
        <f>TRUNC(G28 * (1 + 20.33 / 100), 2)</f>
        <v>223.88999999999999</v>
      </c>
      <c r="K28" s="14">
        <f t="shared" si="6"/>
        <v>180.24000000000001</v>
      </c>
      <c r="L28" s="14">
        <f t="shared" si="7"/>
        <v>13271.07</v>
      </c>
      <c r="M28" s="14">
        <f>TRUNC(F28 * j28, 2)</f>
        <v>13451.309999999999</v>
      </c>
      <c r="N28" s="15">
        <f t="shared" si="9"/>
        <v>5.793436444047147e-003</v>
      </c>
    </row>
    <row r="29" ht="26" customHeight="1">
      <c r="A29" s="16" t="s">
        <v>82</v>
      </c>
      <c r="B29" s="17" t="s">
        <v>70</v>
      </c>
      <c r="C29" s="16" t="s">
        <v>27</v>
      </c>
      <c r="D29" s="16" t="s">
        <v>71</v>
      </c>
      <c r="E29" s="18" t="s">
        <v>68</v>
      </c>
      <c r="F29" s="17">
        <v>3.2999999999999998</v>
      </c>
      <c r="G29" s="19">
        <v>3771.0900000000001</v>
      </c>
      <c r="H29" s="19">
        <v>0</v>
      </c>
      <c r="I29" s="19">
        <v>4336.75</v>
      </c>
      <c r="J29" s="19" t="str">
        <f>TRUNC(G29 * (1 + 15.0 / 100), 2) &amp;CHAR(10)&amp; "(15.0%)"</f>
        <v xml:space="preserve">4336.75
(15.0%)</v>
      </c>
      <c r="K29" s="19">
        <f t="shared" si="6"/>
        <v>0</v>
      </c>
      <c r="L29" s="19">
        <f t="shared" si="7"/>
        <v>14311.27</v>
      </c>
      <c r="M29" s="19">
        <f>TRUNC(F29 * TRUNC(G29 * (1 + 15.0 / 100), 2), 2)</f>
        <v>14311.27</v>
      </c>
      <c r="N29" s="20">
        <f t="shared" si="9"/>
        <v>6.1638184815158235e-003</v>
      </c>
    </row>
    <row r="30" ht="39" customHeight="1">
      <c r="A30" s="11" t="s">
        <v>83</v>
      </c>
      <c r="B30" s="12" t="s">
        <v>73</v>
      </c>
      <c r="C30" s="11" t="s">
        <v>36</v>
      </c>
      <c r="D30" s="11" t="s">
        <v>74</v>
      </c>
      <c r="E30" s="13" t="s">
        <v>60</v>
      </c>
      <c r="F30" s="12">
        <v>1225.6300000000001</v>
      </c>
      <c r="G30" s="14">
        <v>1.6100000000000001</v>
      </c>
      <c r="H30" s="14">
        <v>0.19</v>
      </c>
      <c r="I30" s="14">
        <v>1.74</v>
      </c>
      <c r="J30" s="14">
        <f>TRUNC(G30 * (1 + 20.33 / 100), 2)</f>
        <v>1.9299999999999999</v>
      </c>
      <c r="K30" s="14">
        <f t="shared" si="6"/>
        <v>232.86000000000001</v>
      </c>
      <c r="L30" s="14">
        <f t="shared" si="7"/>
        <v>2132.5999999999999</v>
      </c>
      <c r="M30" s="14">
        <f>TRUNC(F30 * j30, 2)</f>
        <v>2365.46</v>
      </c>
      <c r="N30" s="15">
        <f t="shared" si="9"/>
        <v>1.0187961002263545e-003</v>
      </c>
    </row>
    <row r="31" ht="39" customHeight="1">
      <c r="A31" s="11" t="s">
        <v>84</v>
      </c>
      <c r="B31" s="12" t="s">
        <v>58</v>
      </c>
      <c r="C31" s="11" t="s">
        <v>36</v>
      </c>
      <c r="D31" s="11" t="s">
        <v>59</v>
      </c>
      <c r="E31" s="13" t="s">
        <v>60</v>
      </c>
      <c r="F31" s="12">
        <v>99</v>
      </c>
      <c r="G31" s="14">
        <v>1.3799999999999999</v>
      </c>
      <c r="H31" s="14">
        <v>0.11</v>
      </c>
      <c r="I31" s="14">
        <v>1.47</v>
      </c>
      <c r="J31" s="14" t="str">
        <f t="shared" ref="J31:J32" si="16">TRUNC(G31 * (1 + 15.0 / 100), 2) &amp;CHAR(10)&amp; "(15.0%)"</f>
        <v xml:space="preserve">1.58
(15.0%)</v>
      </c>
      <c r="K31" s="14">
        <f t="shared" si="6"/>
        <v>10.890000000000001</v>
      </c>
      <c r="L31" s="14">
        <f t="shared" si="7"/>
        <v>145.52999999999997</v>
      </c>
      <c r="M31" s="14">
        <f t="shared" ref="M31:M32" si="17">TRUNC(F31 * TRUNC(G31 * (1 + 15.0 / 100), 2), 2)</f>
        <v>156.41999999999999</v>
      </c>
      <c r="N31" s="15">
        <f t="shared" si="9"/>
        <v>6.7369596610133487e-005</v>
      </c>
    </row>
    <row r="32" ht="52" customHeight="1">
      <c r="A32" s="11" t="s">
        <v>85</v>
      </c>
      <c r="B32" s="12" t="s">
        <v>62</v>
      </c>
      <c r="C32" s="11" t="s">
        <v>36</v>
      </c>
      <c r="D32" s="11" t="s">
        <v>63</v>
      </c>
      <c r="E32" s="13" t="s">
        <v>60</v>
      </c>
      <c r="F32" s="12">
        <v>1221</v>
      </c>
      <c r="G32" s="14">
        <v>0.54000000000000004</v>
      </c>
      <c r="H32" s="14">
        <v>2.9999999999999999e-002</v>
      </c>
      <c r="I32" s="14">
        <v>0.58999999999999997</v>
      </c>
      <c r="J32" s="14" t="str">
        <f t="shared" si="16"/>
        <v xml:space="preserve">0.62
(15.0%)</v>
      </c>
      <c r="K32" s="14">
        <f t="shared" si="6"/>
        <v>36.619999999999997</v>
      </c>
      <c r="L32" s="14">
        <f t="shared" si="7"/>
        <v>720.39999999999998</v>
      </c>
      <c r="M32" s="14">
        <f t="shared" si="17"/>
        <v>757.01999999999998</v>
      </c>
      <c r="N32" s="15">
        <f t="shared" si="9"/>
        <v>3.2604610680094138e-004</v>
      </c>
    </row>
    <row r="33" ht="24" customHeight="1">
      <c r="A33" s="7" t="s">
        <v>86</v>
      </c>
      <c r="B33" s="7"/>
      <c r="C33" s="7"/>
      <c r="D33" s="7" t="s">
        <v>87</v>
      </c>
      <c r="E33" s="7"/>
      <c r="F33" s="8"/>
      <c r="G33" s="7"/>
      <c r="H33" s="7"/>
      <c r="I33" s="7"/>
      <c r="J33" s="7"/>
      <c r="K33" s="7"/>
      <c r="L33" s="7"/>
      <c r="M33" s="9">
        <v>0</v>
      </c>
      <c r="N33" s="10">
        <f t="shared" si="9"/>
        <v>0</v>
      </c>
    </row>
    <row r="34" ht="26" customHeight="1">
      <c r="A34" s="11" t="s">
        <v>88</v>
      </c>
      <c r="B34" s="12" t="s">
        <v>89</v>
      </c>
      <c r="C34" s="11" t="s">
        <v>27</v>
      </c>
      <c r="D34" s="11" t="s">
        <v>90</v>
      </c>
      <c r="E34" s="13" t="s">
        <v>38</v>
      </c>
      <c r="F34" s="12">
        <v>224.38</v>
      </c>
      <c r="G34" s="14">
        <v>2.6699999999999999</v>
      </c>
      <c r="H34" s="14">
        <v>1.24</v>
      </c>
      <c r="I34" s="14">
        <v>1.97</v>
      </c>
      <c r="J34" s="14">
        <f t="shared" ref="J34:J45" si="18">TRUNC(G34 * (1 + 20.33 / 100), 2)</f>
        <v>3.21</v>
      </c>
      <c r="K34" s="14">
        <f t="shared" si="6"/>
        <v>278.23000000000002</v>
      </c>
      <c r="L34" s="14">
        <f t="shared" si="7"/>
        <v>442.01999999999998</v>
      </c>
      <c r="M34" s="14">
        <f t="shared" ref="M34:M45" si="19">TRUNC(F34 * j34, 2)</f>
        <v>720.25</v>
      </c>
      <c r="N34" s="15">
        <f t="shared" si="9"/>
        <v>3.102093847234922e-004</v>
      </c>
    </row>
    <row r="35" ht="52" customHeight="1">
      <c r="A35" s="11" t="s">
        <v>91</v>
      </c>
      <c r="B35" s="12" t="s">
        <v>92</v>
      </c>
      <c r="C35" s="11" t="s">
        <v>36</v>
      </c>
      <c r="D35" s="11" t="s">
        <v>93</v>
      </c>
      <c r="E35" s="13" t="s">
        <v>38</v>
      </c>
      <c r="F35" s="12">
        <v>112.19</v>
      </c>
      <c r="G35" s="14">
        <v>5.5099999999999998</v>
      </c>
      <c r="H35" s="14">
        <v>2.27</v>
      </c>
      <c r="I35" s="14">
        <v>4.3600000000000003</v>
      </c>
      <c r="J35" s="14">
        <f t="shared" si="18"/>
        <v>6.6299999999999999</v>
      </c>
      <c r="K35" s="14">
        <f t="shared" si="6"/>
        <v>254.66999999999999</v>
      </c>
      <c r="L35" s="14">
        <f t="shared" si="7"/>
        <v>489.13999999999999</v>
      </c>
      <c r="M35" s="14">
        <f t="shared" si="19"/>
        <v>743.80999999999995</v>
      </c>
      <c r="N35" s="15">
        <f t="shared" si="9"/>
        <v>3.2035660180656817e-004</v>
      </c>
    </row>
    <row r="36" ht="52" customHeight="1">
      <c r="A36" s="11" t="s">
        <v>94</v>
      </c>
      <c r="B36" s="12" t="s">
        <v>95</v>
      </c>
      <c r="C36" s="11" t="s">
        <v>36</v>
      </c>
      <c r="D36" s="11" t="s">
        <v>96</v>
      </c>
      <c r="E36" s="13" t="s">
        <v>33</v>
      </c>
      <c r="F36" s="12">
        <v>56</v>
      </c>
      <c r="G36" s="14">
        <v>23.170000000000002</v>
      </c>
      <c r="H36" s="14">
        <v>12.210000000000001</v>
      </c>
      <c r="I36" s="14">
        <v>15.67</v>
      </c>
      <c r="J36" s="14">
        <f t="shared" si="18"/>
        <v>27.879999999999999</v>
      </c>
      <c r="K36" s="14">
        <f t="shared" si="6"/>
        <v>683.75999999999999</v>
      </c>
      <c r="L36" s="14">
        <f t="shared" si="7"/>
        <v>877.51999999999998</v>
      </c>
      <c r="M36" s="14">
        <f t="shared" si="19"/>
        <v>1561.28</v>
      </c>
      <c r="N36" s="15">
        <f t="shared" si="9"/>
        <v>6.7243833138645455e-004</v>
      </c>
    </row>
    <row r="37" ht="52" customHeight="1">
      <c r="A37" s="11" t="s">
        <v>97</v>
      </c>
      <c r="B37" s="12" t="s">
        <v>98</v>
      </c>
      <c r="C37" s="11" t="s">
        <v>27</v>
      </c>
      <c r="D37" s="11" t="s">
        <v>99</v>
      </c>
      <c r="E37" s="13" t="s">
        <v>100</v>
      </c>
      <c r="F37" s="12">
        <v>2</v>
      </c>
      <c r="G37" s="14">
        <v>407.04000000000002</v>
      </c>
      <c r="H37" s="14">
        <v>16.079999999999998</v>
      </c>
      <c r="I37" s="14">
        <v>473.70999999999998</v>
      </c>
      <c r="J37" s="14">
        <f t="shared" si="18"/>
        <v>489.79000000000002</v>
      </c>
      <c r="K37" s="14">
        <f t="shared" si="6"/>
        <v>32.149999999999999</v>
      </c>
      <c r="L37" s="14">
        <f t="shared" si="7"/>
        <v>947.43000000000006</v>
      </c>
      <c r="M37" s="14">
        <f t="shared" si="19"/>
        <v>979.58000000000004</v>
      </c>
      <c r="N37" s="15">
        <f t="shared" si="9"/>
        <v>4.2190199109675596e-004</v>
      </c>
    </row>
    <row r="38" ht="26" customHeight="1">
      <c r="A38" s="7" t="s">
        <v>101</v>
      </c>
      <c r="B38" s="7"/>
      <c r="C38" s="7"/>
      <c r="D38" s="7" t="s">
        <v>102</v>
      </c>
      <c r="E38" s="7"/>
      <c r="F38" s="8"/>
      <c r="G38" s="7"/>
      <c r="H38" s="7"/>
      <c r="I38" s="7"/>
      <c r="J38" s="7"/>
      <c r="K38" s="7"/>
      <c r="L38" s="7"/>
      <c r="M38" s="9">
        <v>255477.69</v>
      </c>
      <c r="N38" s="10">
        <f t="shared" si="9"/>
        <v>0.11003342870597581</v>
      </c>
    </row>
    <row r="39" ht="24" customHeight="1">
      <c r="A39" s="7" t="s">
        <v>103</v>
      </c>
      <c r="B39" s="7"/>
      <c r="C39" s="7"/>
      <c r="D39" s="7" t="s">
        <v>24</v>
      </c>
      <c r="E39" s="7"/>
      <c r="F39" s="8"/>
      <c r="G39" s="7"/>
      <c r="H39" s="7"/>
      <c r="I39" s="7"/>
      <c r="J39" s="7"/>
      <c r="K39" s="7"/>
      <c r="L39" s="7"/>
      <c r="M39" s="9">
        <v>5189.5799999999999</v>
      </c>
      <c r="N39" s="10">
        <f t="shared" si="9"/>
        <v>2.2351356039893655e-003</v>
      </c>
    </row>
    <row r="40" ht="24" customHeight="1">
      <c r="A40" s="11" t="s">
        <v>104</v>
      </c>
      <c r="B40" s="12" t="s">
        <v>35</v>
      </c>
      <c r="C40" s="11" t="s">
        <v>36</v>
      </c>
      <c r="D40" s="11" t="s">
        <v>37</v>
      </c>
      <c r="E40" s="13" t="s">
        <v>38</v>
      </c>
      <c r="F40" s="12">
        <v>231.74000000000001</v>
      </c>
      <c r="G40" s="14">
        <v>0.64000000000000001</v>
      </c>
      <c r="H40" s="14">
        <v>0.66000000000000003</v>
      </c>
      <c r="I40" s="14">
        <v>0.11</v>
      </c>
      <c r="J40" s="14">
        <f t="shared" si="18"/>
        <v>0.77000000000000002</v>
      </c>
      <c r="K40" s="14">
        <f t="shared" si="6"/>
        <v>152.94</v>
      </c>
      <c r="L40" s="14">
        <f t="shared" si="7"/>
        <v>25.490000000000009</v>
      </c>
      <c r="M40" s="14">
        <f t="shared" si="19"/>
        <v>178.43000000000001</v>
      </c>
      <c r="N40" s="15">
        <f t="shared" si="9"/>
        <v>7.6849233621954473e-005</v>
      </c>
    </row>
    <row r="41" ht="24" customHeight="1">
      <c r="A41" s="11" t="s">
        <v>105</v>
      </c>
      <c r="B41" s="12" t="s">
        <v>31</v>
      </c>
      <c r="C41" s="11" t="s">
        <v>27</v>
      </c>
      <c r="D41" s="11" t="s">
        <v>32</v>
      </c>
      <c r="E41" s="13" t="s">
        <v>33</v>
      </c>
      <c r="F41" s="12">
        <v>1931.27</v>
      </c>
      <c r="G41" s="14">
        <v>1.4099999999999999</v>
      </c>
      <c r="H41" s="14">
        <v>1.6299999999999999</v>
      </c>
      <c r="I41" s="14">
        <v>5.9999999999999998e-002</v>
      </c>
      <c r="J41" s="14">
        <f t="shared" si="18"/>
        <v>1.6899999999999999</v>
      </c>
      <c r="K41" s="14">
        <f t="shared" si="6"/>
        <v>3147.9699999999998</v>
      </c>
      <c r="L41" s="14">
        <f t="shared" si="7"/>
        <v>115.87000000000035</v>
      </c>
      <c r="M41" s="14">
        <f t="shared" si="19"/>
        <v>3263.8400000000001</v>
      </c>
      <c r="N41" s="15">
        <f t="shared" si="9"/>
        <v>1.4057255095257519e-003</v>
      </c>
    </row>
    <row r="42" ht="26" customHeight="1">
      <c r="A42" s="11" t="s">
        <v>106</v>
      </c>
      <c r="B42" s="12" t="s">
        <v>40</v>
      </c>
      <c r="C42" s="11" t="s">
        <v>36</v>
      </c>
      <c r="D42" s="11" t="s">
        <v>41</v>
      </c>
      <c r="E42" s="13" t="s">
        <v>33</v>
      </c>
      <c r="F42" s="12">
        <v>463.48000000000002</v>
      </c>
      <c r="G42" s="14">
        <v>3.1400000000000001</v>
      </c>
      <c r="H42" s="14">
        <v>2.8500000000000001</v>
      </c>
      <c r="I42" s="14">
        <v>0.92000000000000004</v>
      </c>
      <c r="J42" s="14">
        <f t="shared" si="18"/>
        <v>3.77</v>
      </c>
      <c r="K42" s="14">
        <f t="shared" si="6"/>
        <v>1320.9100000000001</v>
      </c>
      <c r="L42" s="14">
        <f t="shared" si="7"/>
        <v>426.39999999999986</v>
      </c>
      <c r="M42" s="14">
        <f t="shared" si="19"/>
        <v>1747.3099999999999</v>
      </c>
      <c r="N42" s="15">
        <f t="shared" si="9"/>
        <v>7.5256086084165934e-004</v>
      </c>
    </row>
    <row r="43" ht="24" customHeight="1">
      <c r="A43" s="7" t="s">
        <v>107</v>
      </c>
      <c r="B43" s="7"/>
      <c r="C43" s="7"/>
      <c r="D43" s="7" t="s">
        <v>108</v>
      </c>
      <c r="E43" s="7"/>
      <c r="F43" s="8"/>
      <c r="G43" s="7"/>
      <c r="H43" s="7"/>
      <c r="I43" s="7"/>
      <c r="J43" s="7"/>
      <c r="K43" s="7"/>
      <c r="L43" s="7"/>
      <c r="M43" s="9">
        <v>63548.739999999998</v>
      </c>
      <c r="N43" s="10">
        <f t="shared" si="9"/>
        <v>2.7370240243461543e-002</v>
      </c>
    </row>
    <row r="44" ht="65" customHeight="1">
      <c r="A44" s="11" t="s">
        <v>109</v>
      </c>
      <c r="B44" s="12" t="s">
        <v>110</v>
      </c>
      <c r="C44" s="11" t="s">
        <v>36</v>
      </c>
      <c r="D44" s="11" t="s">
        <v>111</v>
      </c>
      <c r="E44" s="13" t="s">
        <v>112</v>
      </c>
      <c r="F44" s="12">
        <v>129.59999999999999</v>
      </c>
      <c r="G44" s="14">
        <v>13.24</v>
      </c>
      <c r="H44" s="14">
        <v>4.3600000000000003</v>
      </c>
      <c r="I44" s="14">
        <v>11.57</v>
      </c>
      <c r="J44" s="14">
        <f t="shared" si="18"/>
        <v>15.93</v>
      </c>
      <c r="K44" s="14">
        <f t="shared" si="6"/>
        <v>565.04999999999995</v>
      </c>
      <c r="L44" s="14">
        <f t="shared" si="7"/>
        <v>1499.47</v>
      </c>
      <c r="M44" s="14">
        <f t="shared" si="19"/>
        <v>2064.52</v>
      </c>
      <c r="N44" s="15">
        <f t="shared" si="9"/>
        <v>8.8918219916604528e-004</v>
      </c>
    </row>
    <row r="45" ht="39" customHeight="1">
      <c r="A45" s="11" t="s">
        <v>113</v>
      </c>
      <c r="B45" s="12" t="s">
        <v>114</v>
      </c>
      <c r="C45" s="11" t="s">
        <v>36</v>
      </c>
      <c r="D45" s="11" t="s">
        <v>115</v>
      </c>
      <c r="E45" s="13" t="s">
        <v>116</v>
      </c>
      <c r="F45" s="12">
        <v>712.79999999999995</v>
      </c>
      <c r="G45" s="14">
        <v>2.1600000000000001</v>
      </c>
      <c r="H45" s="14">
        <v>0.20000000000000001</v>
      </c>
      <c r="I45" s="14">
        <v>2.3900000000000001</v>
      </c>
      <c r="J45" s="14">
        <f t="shared" si="18"/>
        <v>2.5899999999999999</v>
      </c>
      <c r="K45" s="14">
        <f t="shared" si="6"/>
        <v>142.56</v>
      </c>
      <c r="L45" s="14">
        <f t="shared" si="7"/>
        <v>1703.5900000000001</v>
      </c>
      <c r="M45" s="14">
        <f t="shared" si="19"/>
        <v>1846.1500000000001</v>
      </c>
      <c r="N45" s="15">
        <f t="shared" si="9"/>
        <v>7.9513093454672008e-004</v>
      </c>
    </row>
    <row r="46" ht="39" customHeight="1">
      <c r="A46" s="16" t="s">
        <v>117</v>
      </c>
      <c r="B46" s="17" t="s">
        <v>118</v>
      </c>
      <c r="C46" s="16" t="s">
        <v>36</v>
      </c>
      <c r="D46" s="16" t="s">
        <v>119</v>
      </c>
      <c r="E46" s="18" t="s">
        <v>38</v>
      </c>
      <c r="F46" s="17">
        <v>144</v>
      </c>
      <c r="G46" s="19">
        <v>60.43</v>
      </c>
      <c r="H46" s="19">
        <v>0</v>
      </c>
      <c r="I46" s="19">
        <v>69.489999999999995</v>
      </c>
      <c r="J46" s="19" t="str">
        <f>TRUNC(G46 * (1 + 15.0 / 100), 2) &amp;CHAR(10)&amp; "(15.0%)"</f>
        <v xml:space="preserve">69.49
(15.0%)</v>
      </c>
      <c r="K46" s="19">
        <f t="shared" si="6"/>
        <v>0</v>
      </c>
      <c r="L46" s="19">
        <f t="shared" si="7"/>
        <v>10006.559999999999</v>
      </c>
      <c r="M46" s="19">
        <f>TRUNC(F46 * TRUNC(G46 * (1 + 15.0 / 100), 2), 2)</f>
        <v>10006.559999999999</v>
      </c>
      <c r="N46" s="20">
        <f t="shared" si="9"/>
        <v>4.3097935727854329e-003</v>
      </c>
    </row>
    <row r="47" ht="52" customHeight="1">
      <c r="A47" s="11" t="s">
        <v>120</v>
      </c>
      <c r="B47" s="12" t="s">
        <v>121</v>
      </c>
      <c r="C47" s="11" t="s">
        <v>36</v>
      </c>
      <c r="D47" s="11" t="s">
        <v>122</v>
      </c>
      <c r="E47" s="13" t="s">
        <v>38</v>
      </c>
      <c r="F47" s="12">
        <v>144</v>
      </c>
      <c r="G47" s="14">
        <v>69.680000000000007</v>
      </c>
      <c r="H47" s="14">
        <v>41.049999999999997</v>
      </c>
      <c r="I47" s="14">
        <v>42.789999999999999</v>
      </c>
      <c r="J47" s="14">
        <f>TRUNC(G47 * (1 + 20.33 / 100), 2)</f>
        <v>83.840000000000003</v>
      </c>
      <c r="K47" s="14">
        <f t="shared" si="6"/>
        <v>5911.1999999999998</v>
      </c>
      <c r="L47" s="14">
        <f t="shared" si="7"/>
        <v>6161.7599999999993</v>
      </c>
      <c r="M47" s="14">
        <f>TRUNC(F47 * j47, 2)</f>
        <v>12072.959999999999</v>
      </c>
      <c r="N47" s="15">
        <f t="shared" si="9"/>
        <v>5.1997854819733867e-003</v>
      </c>
    </row>
    <row r="48" ht="26" customHeight="1">
      <c r="A48" s="16" t="s">
        <v>123</v>
      </c>
      <c r="B48" s="17" t="s">
        <v>124</v>
      </c>
      <c r="C48" s="16" t="s">
        <v>36</v>
      </c>
      <c r="D48" s="16" t="s">
        <v>125</v>
      </c>
      <c r="E48" s="18" t="s">
        <v>112</v>
      </c>
      <c r="F48" s="17">
        <v>6.4800000000000004</v>
      </c>
      <c r="G48" s="19">
        <v>72.129999999999995</v>
      </c>
      <c r="H48" s="19">
        <v>0</v>
      </c>
      <c r="I48" s="19">
        <v>82.939999999999998</v>
      </c>
      <c r="J48" s="19" t="str">
        <f t="shared" ref="J48:J51" si="20">TRUNC(G48 * (1 + 15.0 / 100), 2) &amp;CHAR(10)&amp; "(15.0%)"</f>
        <v xml:space="preserve">82.94
(15.0%)</v>
      </c>
      <c r="K48" s="19">
        <f t="shared" si="6"/>
        <v>0</v>
      </c>
      <c r="L48" s="19">
        <f t="shared" si="7"/>
        <v>537.45000000000005</v>
      </c>
      <c r="M48" s="19">
        <f t="shared" ref="M48:M51" si="21">TRUNC(F48 * TRUNC(G48 * (1 + 15.0 / 100), 2), 2)</f>
        <v>537.45000000000005</v>
      </c>
      <c r="N48" s="20">
        <f t="shared" si="9"/>
        <v>2.3147800599741881e-004</v>
      </c>
    </row>
    <row r="49" ht="26" customHeight="1">
      <c r="A49" s="16" t="s">
        <v>126</v>
      </c>
      <c r="B49" s="17" t="s">
        <v>127</v>
      </c>
      <c r="C49" s="16" t="s">
        <v>36</v>
      </c>
      <c r="D49" s="16" t="s">
        <v>128</v>
      </c>
      <c r="E49" s="18" t="s">
        <v>112</v>
      </c>
      <c r="F49" s="17">
        <v>41.899999999999999</v>
      </c>
      <c r="G49" s="19">
        <v>68.129999999999995</v>
      </c>
      <c r="H49" s="19">
        <v>0</v>
      </c>
      <c r="I49" s="19">
        <v>78.340000000000003</v>
      </c>
      <c r="J49" s="19" t="str">
        <f t="shared" si="20"/>
        <v xml:space="preserve">78.34
(15.0%)</v>
      </c>
      <c r="K49" s="19">
        <f t="shared" si="6"/>
        <v>0</v>
      </c>
      <c r="L49" s="19">
        <f t="shared" si="7"/>
        <v>3282.4400000000001</v>
      </c>
      <c r="M49" s="19">
        <f t="shared" si="21"/>
        <v>3282.4400000000001</v>
      </c>
      <c r="N49" s="20">
        <f t="shared" si="9"/>
        <v>1.4137364703808118e-003</v>
      </c>
    </row>
    <row r="50" ht="26" customHeight="1">
      <c r="A50" s="16" t="s">
        <v>129</v>
      </c>
      <c r="B50" s="17" t="s">
        <v>130</v>
      </c>
      <c r="C50" s="16" t="s">
        <v>36</v>
      </c>
      <c r="D50" s="16" t="s">
        <v>131</v>
      </c>
      <c r="E50" s="18" t="s">
        <v>112</v>
      </c>
      <c r="F50" s="17">
        <v>25.920000000000002</v>
      </c>
      <c r="G50" s="19">
        <v>67.790000000000006</v>
      </c>
      <c r="H50" s="19">
        <v>0</v>
      </c>
      <c r="I50" s="19">
        <v>77.950000000000003</v>
      </c>
      <c r="J50" s="19" t="str">
        <f t="shared" si="20"/>
        <v xml:space="preserve">77.95
(15.0%)</v>
      </c>
      <c r="K50" s="19">
        <f t="shared" si="6"/>
        <v>0</v>
      </c>
      <c r="L50" s="19">
        <f t="shared" si="7"/>
        <v>2020.46</v>
      </c>
      <c r="M50" s="19">
        <f t="shared" si="21"/>
        <v>2020.46</v>
      </c>
      <c r="N50" s="20">
        <f t="shared" si="9"/>
        <v>8.7020569726959675e-004</v>
      </c>
    </row>
    <row r="51" ht="26" customHeight="1">
      <c r="A51" s="16" t="s">
        <v>132</v>
      </c>
      <c r="B51" s="17" t="s">
        <v>133</v>
      </c>
      <c r="C51" s="16" t="s">
        <v>36</v>
      </c>
      <c r="D51" s="16" t="s">
        <v>134</v>
      </c>
      <c r="E51" s="18" t="s">
        <v>112</v>
      </c>
      <c r="F51" s="17">
        <v>19.440000000000001</v>
      </c>
      <c r="G51" s="19">
        <v>72.670000000000002</v>
      </c>
      <c r="H51" s="19">
        <v>0</v>
      </c>
      <c r="I51" s="19">
        <v>83.569999999999993</v>
      </c>
      <c r="J51" s="19" t="str">
        <f t="shared" si="20"/>
        <v xml:space="preserve">83.57
(15.0%)</v>
      </c>
      <c r="K51" s="19">
        <f t="shared" si="6"/>
        <v>0</v>
      </c>
      <c r="L51" s="19">
        <f t="shared" si="7"/>
        <v>1624.5999999999999</v>
      </c>
      <c r="M51" s="19">
        <f t="shared" si="21"/>
        <v>1624.5999999999999</v>
      </c>
      <c r="N51" s="20">
        <f t="shared" si="9"/>
        <v>6.9971005403927163e-004</v>
      </c>
    </row>
    <row r="52" ht="39" customHeight="1">
      <c r="A52" s="11" t="s">
        <v>135</v>
      </c>
      <c r="B52" s="12" t="s">
        <v>114</v>
      </c>
      <c r="C52" s="11" t="s">
        <v>36</v>
      </c>
      <c r="D52" s="11" t="s">
        <v>115</v>
      </c>
      <c r="E52" s="13" t="s">
        <v>116</v>
      </c>
      <c r="F52" s="12">
        <v>1724.8199999999999</v>
      </c>
      <c r="G52" s="14">
        <v>2.1600000000000001</v>
      </c>
      <c r="H52" s="14">
        <v>0.20000000000000001</v>
      </c>
      <c r="I52" s="14">
        <v>2.3900000000000001</v>
      </c>
      <c r="J52" s="14">
        <f t="shared" ref="J52:J53" si="22">TRUNC(G52 * (1 + 20.33 / 100), 2)</f>
        <v>2.5899999999999999</v>
      </c>
      <c r="K52" s="14">
        <f t="shared" si="6"/>
        <v>344.95999999999998</v>
      </c>
      <c r="L52" s="14">
        <f t="shared" si="7"/>
        <v>4122.3199999999997</v>
      </c>
      <c r="M52" s="14">
        <f t="shared" ref="M52:M53" si="23">TRUNC(F52 * j52, 2)</f>
        <v>4467.2799999999997</v>
      </c>
      <c r="N52" s="15">
        <f t="shared" si="9"/>
        <v>1.9240432907845361e-003</v>
      </c>
    </row>
    <row r="53" ht="26" customHeight="1">
      <c r="A53" s="11" t="s">
        <v>136</v>
      </c>
      <c r="B53" s="12" t="s">
        <v>137</v>
      </c>
      <c r="C53" s="11" t="s">
        <v>27</v>
      </c>
      <c r="D53" s="11" t="s">
        <v>138</v>
      </c>
      <c r="E53" s="13" t="s">
        <v>33</v>
      </c>
      <c r="F53" s="12">
        <v>129.59999999999999</v>
      </c>
      <c r="G53" s="14">
        <v>1.1899999999999999</v>
      </c>
      <c r="H53" s="14">
        <v>0.46999999999999997</v>
      </c>
      <c r="I53" s="14">
        <v>0.95999999999999996</v>
      </c>
      <c r="J53" s="14">
        <f t="shared" si="22"/>
        <v>1.4299999999999999</v>
      </c>
      <c r="K53" s="14">
        <f t="shared" si="6"/>
        <v>60.909999999999997</v>
      </c>
      <c r="L53" s="14">
        <f t="shared" si="7"/>
        <v>124.41</v>
      </c>
      <c r="M53" s="14">
        <f t="shared" si="23"/>
        <v>185.31999999999999</v>
      </c>
      <c r="N53" s="15">
        <f t="shared" si="9"/>
        <v>7.9816734712887978e-005</v>
      </c>
    </row>
    <row r="54" ht="24" customHeight="1">
      <c r="A54" s="16" t="s">
        <v>139</v>
      </c>
      <c r="B54" s="17" t="s">
        <v>140</v>
      </c>
      <c r="C54" s="16" t="s">
        <v>27</v>
      </c>
      <c r="D54" s="16" t="s">
        <v>141</v>
      </c>
      <c r="E54" s="18" t="s">
        <v>56</v>
      </c>
      <c r="F54" s="17">
        <v>155.52000000000001</v>
      </c>
      <c r="G54" s="19">
        <v>4.9400000000000004</v>
      </c>
      <c r="H54" s="19">
        <v>0</v>
      </c>
      <c r="I54" s="19">
        <v>5.6799999999999997</v>
      </c>
      <c r="J54" s="19" t="str">
        <f>TRUNC(G54 * (1 + 15.0 / 100), 2) &amp;CHAR(10)&amp; "(15.0%)"</f>
        <v xml:space="preserve">5.68
(15.0%)</v>
      </c>
      <c r="K54" s="19">
        <f t="shared" si="6"/>
        <v>0</v>
      </c>
      <c r="L54" s="19">
        <f t="shared" si="7"/>
        <v>883.35000000000002</v>
      </c>
      <c r="M54" s="19">
        <f>TRUNC(F54 * TRUNC(G54 * (1 + 15.0 / 100), 2), 2)</f>
        <v>883.35000000000002</v>
      </c>
      <c r="N54" s="20">
        <f t="shared" si="9"/>
        <v>3.8045603609232465e-004</v>
      </c>
    </row>
    <row r="55" ht="39" customHeight="1">
      <c r="A55" s="11" t="s">
        <v>142</v>
      </c>
      <c r="B55" s="12" t="s">
        <v>51</v>
      </c>
      <c r="C55" s="11" t="s">
        <v>27</v>
      </c>
      <c r="D55" s="11" t="s">
        <v>52</v>
      </c>
      <c r="E55" s="13" t="s">
        <v>33</v>
      </c>
      <c r="F55" s="12">
        <v>129.59999999999999</v>
      </c>
      <c r="G55" s="14">
        <v>1.04</v>
      </c>
      <c r="H55" s="14">
        <v>0.42999999999999999</v>
      </c>
      <c r="I55" s="14">
        <v>0.81999999999999995</v>
      </c>
      <c r="J55" s="14">
        <f>TRUNC(G55 * (1 + 20.33 / 100), 2)</f>
        <v>1.25</v>
      </c>
      <c r="K55" s="14">
        <f t="shared" si="6"/>
        <v>55.719999999999999</v>
      </c>
      <c r="L55" s="14">
        <f t="shared" si="7"/>
        <v>106.28</v>
      </c>
      <c r="M55" s="14">
        <f>TRUNC(F55 * j55, 2)</f>
        <v>162</v>
      </c>
      <c r="N55" s="15">
        <f t="shared" si="9"/>
        <v>6.9772884866651491e-005</v>
      </c>
    </row>
    <row r="56" ht="24" customHeight="1">
      <c r="A56" s="16" t="s">
        <v>143</v>
      </c>
      <c r="B56" s="17" t="s">
        <v>54</v>
      </c>
      <c r="C56" s="16" t="s">
        <v>27</v>
      </c>
      <c r="D56" s="16" t="s">
        <v>55</v>
      </c>
      <c r="E56" s="18" t="s">
        <v>56</v>
      </c>
      <c r="F56" s="17">
        <v>58.32</v>
      </c>
      <c r="G56" s="19">
        <v>3.2200000000000002</v>
      </c>
      <c r="H56" s="19">
        <v>0</v>
      </c>
      <c r="I56" s="19">
        <v>3.7000000000000002</v>
      </c>
      <c r="J56" s="19" t="str">
        <f>TRUNC(G56 * (1 + 15.0 / 100), 2) &amp;CHAR(10)&amp; "(15.0%)"</f>
        <v xml:space="preserve">3.7
(15.0%)</v>
      </c>
      <c r="K56" s="19">
        <f t="shared" si="6"/>
        <v>0</v>
      </c>
      <c r="L56" s="19">
        <f t="shared" si="7"/>
        <v>215.78</v>
      </c>
      <c r="M56" s="19">
        <f>TRUNC(F56 * TRUNC(G56 * (1 + 15.0 / 100), 2), 2)</f>
        <v>215.78</v>
      </c>
      <c r="N56" s="20">
        <f t="shared" si="9"/>
        <v>9.293575985509912e-005</v>
      </c>
    </row>
    <row r="57" ht="26" customHeight="1">
      <c r="A57" s="11" t="s">
        <v>144</v>
      </c>
      <c r="B57" s="12" t="s">
        <v>65</v>
      </c>
      <c r="C57" s="11" t="s">
        <v>66</v>
      </c>
      <c r="D57" s="11" t="s">
        <v>67</v>
      </c>
      <c r="E57" s="13" t="s">
        <v>68</v>
      </c>
      <c r="F57" s="12">
        <v>9.3399999999999999</v>
      </c>
      <c r="G57" s="14">
        <v>186.06999999999999</v>
      </c>
      <c r="H57" s="14">
        <v>3</v>
      </c>
      <c r="I57" s="14">
        <v>220.88999999999999</v>
      </c>
      <c r="J57" s="14">
        <f t="shared" ref="J57:J58" si="24">TRUNC(G57 * (1 + 20.33 / 100), 2)</f>
        <v>223.88999999999999</v>
      </c>
      <c r="K57" s="14">
        <f t="shared" si="6"/>
        <v>28.02</v>
      </c>
      <c r="L57" s="14">
        <f t="shared" si="7"/>
        <v>2063.1100000000001</v>
      </c>
      <c r="M57" s="14">
        <f t="shared" ref="M57:M58" si="25">TRUNC(F57 * j57, 2)</f>
        <v>2091.1300000000001</v>
      </c>
      <c r="N57" s="15">
        <f t="shared" si="9"/>
        <v>9.0064304155062309e-004</v>
      </c>
    </row>
    <row r="58" ht="39" customHeight="1">
      <c r="A58" s="11" t="s">
        <v>145</v>
      </c>
      <c r="B58" s="12" t="s">
        <v>73</v>
      </c>
      <c r="C58" s="11" t="s">
        <v>36</v>
      </c>
      <c r="D58" s="11" t="s">
        <v>74</v>
      </c>
      <c r="E58" s="13" t="s">
        <v>60</v>
      </c>
      <c r="F58" s="12">
        <v>171.86000000000001</v>
      </c>
      <c r="G58" s="14">
        <v>1.6100000000000001</v>
      </c>
      <c r="H58" s="14">
        <v>0.19</v>
      </c>
      <c r="I58" s="14">
        <v>1.74</v>
      </c>
      <c r="J58" s="14">
        <f t="shared" si="24"/>
        <v>1.9299999999999999</v>
      </c>
      <c r="K58" s="14">
        <f t="shared" si="6"/>
        <v>32.649999999999999</v>
      </c>
      <c r="L58" s="14">
        <f t="shared" si="7"/>
        <v>299.03000000000003</v>
      </c>
      <c r="M58" s="14">
        <f t="shared" si="25"/>
        <v>331.68000000000001</v>
      </c>
      <c r="N58" s="15">
        <f t="shared" si="9"/>
        <v>1.4285352131216645e-004</v>
      </c>
    </row>
    <row r="59" ht="26" customHeight="1">
      <c r="A59" s="16" t="s">
        <v>146</v>
      </c>
      <c r="B59" s="17" t="s">
        <v>70</v>
      </c>
      <c r="C59" s="16" t="s">
        <v>27</v>
      </c>
      <c r="D59" s="16" t="s">
        <v>71</v>
      </c>
      <c r="E59" s="18" t="s">
        <v>68</v>
      </c>
      <c r="F59" s="17">
        <v>0.54000000000000004</v>
      </c>
      <c r="G59" s="19">
        <v>3771.0900000000001</v>
      </c>
      <c r="H59" s="19">
        <v>0</v>
      </c>
      <c r="I59" s="19">
        <v>4336.75</v>
      </c>
      <c r="J59" s="19" t="str">
        <f t="shared" ref="J59:J60" si="26">TRUNC(G59 * (1 + 15.0 / 100), 2) &amp;CHAR(10)&amp; "(15.0%)"</f>
        <v xml:space="preserve">4336.75
(15.0%)</v>
      </c>
      <c r="K59" s="19">
        <f t="shared" si="6"/>
        <v>0</v>
      </c>
      <c r="L59" s="19">
        <f t="shared" si="7"/>
        <v>2341.8400000000001</v>
      </c>
      <c r="M59" s="19">
        <f t="shared" ref="M59:M60" si="27">TRUNC(F59 * TRUNC(G59 * (1 + 15.0 / 100), 2), 2)</f>
        <v>2341.8400000000001</v>
      </c>
      <c r="N59" s="20">
        <f t="shared" si="9"/>
        <v>1.0086230413340687e-003</v>
      </c>
    </row>
    <row r="60" ht="52" customHeight="1">
      <c r="A60" s="11" t="s">
        <v>147</v>
      </c>
      <c r="B60" s="12" t="s">
        <v>62</v>
      </c>
      <c r="C60" s="11" t="s">
        <v>36</v>
      </c>
      <c r="D60" s="11" t="s">
        <v>63</v>
      </c>
      <c r="E60" s="13" t="s">
        <v>60</v>
      </c>
      <c r="F60" s="12">
        <v>216</v>
      </c>
      <c r="G60" s="14">
        <v>0.54000000000000004</v>
      </c>
      <c r="H60" s="14">
        <v>2.9999999999999999e-002</v>
      </c>
      <c r="I60" s="14">
        <v>0.58999999999999997</v>
      </c>
      <c r="J60" s="14" t="str">
        <f t="shared" si="26"/>
        <v xml:space="preserve">0.62
(15.0%)</v>
      </c>
      <c r="K60" s="14">
        <f t="shared" si="6"/>
        <v>6.4800000000000004</v>
      </c>
      <c r="L60" s="14">
        <f t="shared" si="7"/>
        <v>127.42999999999999</v>
      </c>
      <c r="M60" s="14">
        <f t="shared" si="27"/>
        <v>133.91</v>
      </c>
      <c r="N60" s="15">
        <f t="shared" si="9"/>
        <v>5.7674611188230252e-005</v>
      </c>
    </row>
    <row r="61" ht="52" customHeight="1">
      <c r="A61" s="11" t="s">
        <v>148</v>
      </c>
      <c r="B61" s="12" t="s">
        <v>149</v>
      </c>
      <c r="C61" s="11" t="s">
        <v>27</v>
      </c>
      <c r="D61" s="11" t="s">
        <v>150</v>
      </c>
      <c r="E61" s="13" t="s">
        <v>151</v>
      </c>
      <c r="F61" s="12">
        <v>2</v>
      </c>
      <c r="G61" s="14">
        <v>2785.9699999999998</v>
      </c>
      <c r="H61" s="14">
        <v>979.30999999999995</v>
      </c>
      <c r="I61" s="14">
        <v>2373.04</v>
      </c>
      <c r="J61" s="14">
        <f t="shared" ref="J61:J67" si="28">TRUNC(G61 * (1 + 20.33 / 100), 2)</f>
        <v>3352.3499999999999</v>
      </c>
      <c r="K61" s="14">
        <f t="shared" si="6"/>
        <v>1958.6199999999999</v>
      </c>
      <c r="L61" s="14">
        <f t="shared" si="7"/>
        <v>4746.0799999999999</v>
      </c>
      <c r="M61" s="14">
        <f t="shared" ref="M61:M67" si="29">TRUNC(F61 * j61, 2)</f>
        <v>6704.6999999999998</v>
      </c>
      <c r="N61" s="15">
        <f t="shared" si="9"/>
        <v>2.8876929701570262e-003</v>
      </c>
    </row>
    <row r="62" ht="39" customHeight="1">
      <c r="A62" s="11" t="s">
        <v>152</v>
      </c>
      <c r="B62" s="12" t="s">
        <v>153</v>
      </c>
      <c r="C62" s="11" t="s">
        <v>36</v>
      </c>
      <c r="D62" s="11" t="s">
        <v>154</v>
      </c>
      <c r="E62" s="13" t="s">
        <v>151</v>
      </c>
      <c r="F62" s="12">
        <v>6</v>
      </c>
      <c r="G62" s="14">
        <v>1506.1800000000001</v>
      </c>
      <c r="H62" s="14">
        <v>483.20999999999998</v>
      </c>
      <c r="I62" s="14">
        <v>1329.1700000000001</v>
      </c>
      <c r="J62" s="14">
        <f t="shared" si="28"/>
        <v>1812.3800000000001</v>
      </c>
      <c r="K62" s="14">
        <f t="shared" si="6"/>
        <v>2899.2600000000002</v>
      </c>
      <c r="L62" s="14">
        <f t="shared" si="7"/>
        <v>7975.0200000000004</v>
      </c>
      <c r="M62" s="14">
        <f t="shared" si="29"/>
        <v>10874.280000000001</v>
      </c>
      <c r="N62" s="15">
        <f t="shared" si="9"/>
        <v>4.6835178175785863e-003</v>
      </c>
    </row>
    <row r="63" ht="65" customHeight="1">
      <c r="A63" s="11" t="s">
        <v>155</v>
      </c>
      <c r="B63" s="12" t="s">
        <v>156</v>
      </c>
      <c r="C63" s="11" t="s">
        <v>27</v>
      </c>
      <c r="D63" s="11" t="s">
        <v>157</v>
      </c>
      <c r="E63" s="13" t="s">
        <v>29</v>
      </c>
      <c r="F63" s="12">
        <v>1</v>
      </c>
      <c r="G63" s="14">
        <v>1414.71</v>
      </c>
      <c r="H63" s="14">
        <v>560.89999999999998</v>
      </c>
      <c r="I63" s="14">
        <v>1141.4200000000001</v>
      </c>
      <c r="J63" s="14">
        <f t="shared" si="28"/>
        <v>1702.3199999999999</v>
      </c>
      <c r="K63" s="14">
        <f t="shared" si="6"/>
        <v>560.89999999999998</v>
      </c>
      <c r="L63" s="14">
        <f t="shared" si="7"/>
        <v>1141.4200000000001</v>
      </c>
      <c r="M63" s="14">
        <f t="shared" si="29"/>
        <v>1702.3199999999999</v>
      </c>
      <c r="N63" s="15">
        <f t="shared" si="9"/>
        <v>7.331838109024578e-004</v>
      </c>
    </row>
    <row r="64" ht="24" customHeight="1">
      <c r="A64" s="7" t="s">
        <v>158</v>
      </c>
      <c r="B64" s="7"/>
      <c r="C64" s="7"/>
      <c r="D64" s="7" t="s">
        <v>43</v>
      </c>
      <c r="E64" s="7"/>
      <c r="F64" s="8"/>
      <c r="G64" s="7"/>
      <c r="H64" s="7"/>
      <c r="I64" s="7"/>
      <c r="J64" s="7"/>
      <c r="K64" s="7"/>
      <c r="L64" s="7"/>
      <c r="M64" s="9">
        <v>181484.76999999999</v>
      </c>
      <c r="N64" s="10">
        <f t="shared" si="9"/>
        <v>7.8164913347288423e-002</v>
      </c>
    </row>
    <row r="65" ht="24" customHeight="1">
      <c r="A65" s="11" t="s">
        <v>159</v>
      </c>
      <c r="B65" s="12" t="s">
        <v>45</v>
      </c>
      <c r="C65" s="11" t="s">
        <v>27</v>
      </c>
      <c r="D65" s="11" t="s">
        <v>46</v>
      </c>
      <c r="E65" s="13" t="s">
        <v>38</v>
      </c>
      <c r="F65" s="12">
        <v>121</v>
      </c>
      <c r="G65" s="14">
        <v>12.32</v>
      </c>
      <c r="H65" s="14">
        <v>11.25</v>
      </c>
      <c r="I65" s="14">
        <v>3.5699999999999998</v>
      </c>
      <c r="J65" s="14">
        <f t="shared" si="28"/>
        <v>14.82</v>
      </c>
      <c r="K65" s="14">
        <f t="shared" si="6"/>
        <v>1361.25</v>
      </c>
      <c r="L65" s="14">
        <f t="shared" si="7"/>
        <v>431.97000000000003</v>
      </c>
      <c r="M65" s="14">
        <f t="shared" si="29"/>
        <v>1793.22</v>
      </c>
      <c r="N65" s="15">
        <f t="shared" si="9"/>
        <v>7.7233415185541221e-004</v>
      </c>
    </row>
    <row r="66" ht="65" customHeight="1">
      <c r="A66" s="11" t="s">
        <v>160</v>
      </c>
      <c r="B66" s="12" t="s">
        <v>48</v>
      </c>
      <c r="C66" s="11" t="s">
        <v>27</v>
      </c>
      <c r="D66" s="11" t="s">
        <v>49</v>
      </c>
      <c r="E66" s="13" t="s">
        <v>38</v>
      </c>
      <c r="F66" s="12">
        <v>121</v>
      </c>
      <c r="G66" s="14">
        <v>55.740000000000002</v>
      </c>
      <c r="H66" s="14">
        <v>18.23</v>
      </c>
      <c r="I66" s="14">
        <v>48.840000000000003</v>
      </c>
      <c r="J66" s="14">
        <f t="shared" si="28"/>
        <v>67.069999999999993</v>
      </c>
      <c r="K66" s="14">
        <f t="shared" si="6"/>
        <v>2205.8299999999999</v>
      </c>
      <c r="L66" s="14">
        <f t="shared" si="7"/>
        <v>5909.6300000000001</v>
      </c>
      <c r="M66" s="14">
        <f t="shared" si="29"/>
        <v>8115.46</v>
      </c>
      <c r="N66" s="15">
        <f t="shared" si="9"/>
        <v>3.4953028161723177e-003</v>
      </c>
    </row>
    <row r="67" ht="39" customHeight="1">
      <c r="A67" s="11" t="s">
        <v>161</v>
      </c>
      <c r="B67" s="12" t="s">
        <v>51</v>
      </c>
      <c r="C67" s="11" t="s">
        <v>27</v>
      </c>
      <c r="D67" s="11" t="s">
        <v>52</v>
      </c>
      <c r="E67" s="13" t="s">
        <v>33</v>
      </c>
      <c r="F67" s="12">
        <v>1931.27</v>
      </c>
      <c r="G67" s="14">
        <v>1.04</v>
      </c>
      <c r="H67" s="14">
        <v>0.42999999999999999</v>
      </c>
      <c r="I67" s="14">
        <v>0.81999999999999995</v>
      </c>
      <c r="J67" s="14">
        <f t="shared" si="28"/>
        <v>1.25</v>
      </c>
      <c r="K67" s="14">
        <f t="shared" si="6"/>
        <v>830.44000000000005</v>
      </c>
      <c r="L67" s="14">
        <f t="shared" si="7"/>
        <v>1583.6399999999999</v>
      </c>
      <c r="M67" s="14">
        <f t="shared" si="29"/>
        <v>2414.0799999999999</v>
      </c>
      <c r="N67" s="15">
        <f t="shared" si="9"/>
        <v>1.0397365796227531e-003</v>
      </c>
    </row>
    <row r="68" ht="24" customHeight="1">
      <c r="A68" s="16" t="s">
        <v>162</v>
      </c>
      <c r="B68" s="17" t="s">
        <v>54</v>
      </c>
      <c r="C68" s="16" t="s">
        <v>27</v>
      </c>
      <c r="D68" s="16" t="s">
        <v>55</v>
      </c>
      <c r="E68" s="18" t="s">
        <v>56</v>
      </c>
      <c r="F68" s="17">
        <v>869.07000000000005</v>
      </c>
      <c r="G68" s="19">
        <v>3.2200000000000002</v>
      </c>
      <c r="H68" s="19">
        <v>0</v>
      </c>
      <c r="I68" s="19">
        <v>3.7000000000000002</v>
      </c>
      <c r="J68" s="19" t="str">
        <f t="shared" ref="J68:J70" si="30">TRUNC(G68 * (1 + 15.0 / 100), 2) &amp;CHAR(10)&amp; "(15.0%)"</f>
        <v xml:space="preserve">3.7
(15.0%)</v>
      </c>
      <c r="K68" s="19">
        <f t="shared" si="6"/>
        <v>0</v>
      </c>
      <c r="L68" s="19">
        <f t="shared" si="7"/>
        <v>3215.5500000000002</v>
      </c>
      <c r="M68" s="19">
        <f t="shared" ref="M68:M70" si="31">TRUNC(F68 * TRUNC(G68 * (1 + 15.0 / 100), 2), 2)</f>
        <v>3215.5500000000002</v>
      </c>
      <c r="N68" s="20">
        <f t="shared" si="9"/>
        <v>1.3849271600800074e-003</v>
      </c>
    </row>
    <row r="69" ht="39" customHeight="1">
      <c r="A69" s="11" t="s">
        <v>163</v>
      </c>
      <c r="B69" s="12" t="s">
        <v>58</v>
      </c>
      <c r="C69" s="11" t="s">
        <v>36</v>
      </c>
      <c r="D69" s="11" t="s">
        <v>59</v>
      </c>
      <c r="E69" s="13" t="s">
        <v>60</v>
      </c>
      <c r="F69" s="12">
        <v>26.07</v>
      </c>
      <c r="G69" s="14">
        <v>1.3799999999999999</v>
      </c>
      <c r="H69" s="14">
        <v>0.11</v>
      </c>
      <c r="I69" s="14">
        <v>1.47</v>
      </c>
      <c r="J69" s="14" t="str">
        <f t="shared" si="30"/>
        <v xml:space="preserve">1.58
(15.0%)</v>
      </c>
      <c r="K69" s="14">
        <f t="shared" si="6"/>
        <v>2.8599999999999999</v>
      </c>
      <c r="L69" s="14">
        <f t="shared" si="7"/>
        <v>38.329999999999998</v>
      </c>
      <c r="M69" s="14">
        <f t="shared" si="31"/>
        <v>41.189999999999998</v>
      </c>
      <c r="N69" s="15">
        <f t="shared" si="9"/>
        <v>1.7740402022576385e-005</v>
      </c>
    </row>
    <row r="70" ht="52" customHeight="1">
      <c r="A70" s="11" t="s">
        <v>164</v>
      </c>
      <c r="B70" s="12" t="s">
        <v>62</v>
      </c>
      <c r="C70" s="11" t="s">
        <v>36</v>
      </c>
      <c r="D70" s="11" t="s">
        <v>63</v>
      </c>
      <c r="E70" s="13" t="s">
        <v>60</v>
      </c>
      <c r="F70" s="12">
        <v>143.40000000000001</v>
      </c>
      <c r="G70" s="14">
        <v>0.54000000000000004</v>
      </c>
      <c r="H70" s="14">
        <v>2.9999999999999999e-002</v>
      </c>
      <c r="I70" s="14">
        <v>0.58999999999999997</v>
      </c>
      <c r="J70" s="14" t="str">
        <f t="shared" si="30"/>
        <v xml:space="preserve">0.62
(15.0%)</v>
      </c>
      <c r="K70" s="14">
        <f t="shared" si="6"/>
        <v>4.2999999999999998</v>
      </c>
      <c r="L70" s="14">
        <f t="shared" si="7"/>
        <v>84.600000000000009</v>
      </c>
      <c r="M70" s="14">
        <f t="shared" si="31"/>
        <v>88.900000000000006</v>
      </c>
      <c r="N70" s="15">
        <f t="shared" si="9"/>
        <v>3.8288947312625414e-005</v>
      </c>
    </row>
    <row r="71" ht="26" customHeight="1">
      <c r="A71" s="11" t="s">
        <v>165</v>
      </c>
      <c r="B71" s="12" t="s">
        <v>65</v>
      </c>
      <c r="C71" s="11" t="s">
        <v>66</v>
      </c>
      <c r="D71" s="11" t="s">
        <v>67</v>
      </c>
      <c r="E71" s="13" t="s">
        <v>68</v>
      </c>
      <c r="F71" s="12">
        <v>185.40000000000001</v>
      </c>
      <c r="G71" s="14">
        <v>186.06999999999999</v>
      </c>
      <c r="H71" s="14">
        <v>3</v>
      </c>
      <c r="I71" s="14">
        <v>220.88999999999999</v>
      </c>
      <c r="J71" s="14">
        <f>TRUNC(G71 * (1 + 20.33 / 100), 2)</f>
        <v>223.88999999999999</v>
      </c>
      <c r="K71" s="14">
        <f t="shared" si="6"/>
        <v>556.20000000000005</v>
      </c>
      <c r="L71" s="14">
        <f t="shared" si="7"/>
        <v>40953</v>
      </c>
      <c r="M71" s="14">
        <f>TRUNC(F71 * j71, 2)</f>
        <v>41509.199999999997</v>
      </c>
      <c r="N71" s="15">
        <f t="shared" si="9"/>
        <v>1.7877880447572901e-002</v>
      </c>
    </row>
    <row r="72" ht="26" customHeight="1">
      <c r="A72" s="16" t="s">
        <v>166</v>
      </c>
      <c r="B72" s="17" t="s">
        <v>70</v>
      </c>
      <c r="C72" s="16" t="s">
        <v>27</v>
      </c>
      <c r="D72" s="16" t="s">
        <v>71</v>
      </c>
      <c r="E72" s="18" t="s">
        <v>68</v>
      </c>
      <c r="F72" s="17">
        <v>10.66</v>
      </c>
      <c r="G72" s="19">
        <v>3771.0900000000001</v>
      </c>
      <c r="H72" s="19">
        <v>0</v>
      </c>
      <c r="I72" s="19">
        <v>4336.75</v>
      </c>
      <c r="J72" s="19" t="str">
        <f>TRUNC(G72 * (1 + 15.0 / 100), 2) &amp;CHAR(10)&amp; "(15.0%)"</f>
        <v xml:space="preserve">4336.75
(15.0%)</v>
      </c>
      <c r="K72" s="19">
        <f t="shared" si="6"/>
        <v>0</v>
      </c>
      <c r="L72" s="19">
        <f t="shared" si="7"/>
        <v>46229.75</v>
      </c>
      <c r="M72" s="19">
        <f>TRUNC(F72 * TRUNC(G72 * (1 + 15.0 / 100), 2), 2)</f>
        <v>46229.75</v>
      </c>
      <c r="N72" s="20">
        <f t="shared" si="9"/>
        <v>1.9911006322000505e-002</v>
      </c>
    </row>
    <row r="73" ht="39" customHeight="1">
      <c r="A73" s="11" t="s">
        <v>167</v>
      </c>
      <c r="B73" s="12" t="s">
        <v>73</v>
      </c>
      <c r="C73" s="11" t="s">
        <v>36</v>
      </c>
      <c r="D73" s="11" t="s">
        <v>74</v>
      </c>
      <c r="E73" s="13" t="s">
        <v>60</v>
      </c>
      <c r="F73" s="12">
        <v>3411.3600000000001</v>
      </c>
      <c r="G73" s="14">
        <v>1.6100000000000001</v>
      </c>
      <c r="H73" s="14">
        <v>0.19</v>
      </c>
      <c r="I73" s="14">
        <v>1.74</v>
      </c>
      <c r="J73" s="14">
        <f>TRUNC(G73 * (1 + 20.33 / 100), 2)</f>
        <v>1.9299999999999999</v>
      </c>
      <c r="K73" s="14">
        <f t="shared" si="6"/>
        <v>648.14999999999998</v>
      </c>
      <c r="L73" s="14">
        <f t="shared" si="7"/>
        <v>5935.7700000000004</v>
      </c>
      <c r="M73" s="14">
        <f>TRUNC(F73 * j73, 2)</f>
        <v>6583.9200000000001</v>
      </c>
      <c r="N73" s="15">
        <f t="shared" si="9"/>
        <v>2.835673408217556e-003</v>
      </c>
    </row>
    <row r="74" ht="39" customHeight="1">
      <c r="A74" s="11" t="s">
        <v>168</v>
      </c>
      <c r="B74" s="12" t="s">
        <v>58</v>
      </c>
      <c r="C74" s="11" t="s">
        <v>36</v>
      </c>
      <c r="D74" s="11" t="s">
        <v>59</v>
      </c>
      <c r="E74" s="13" t="s">
        <v>60</v>
      </c>
      <c r="F74" s="12">
        <v>319.80000000000001</v>
      </c>
      <c r="G74" s="14">
        <v>1.3799999999999999</v>
      </c>
      <c r="H74" s="14">
        <v>0.11</v>
      </c>
      <c r="I74" s="14">
        <v>1.47</v>
      </c>
      <c r="J74" s="14" t="str">
        <f t="shared" ref="J74:J75" si="32">TRUNC(G74 * (1 + 15.0 / 100), 2) &amp;CHAR(10)&amp; "(15.0%)"</f>
        <v xml:space="preserve">1.58
(15.0%)</v>
      </c>
      <c r="K74" s="14">
        <f t="shared" ref="K74:K99" si="33">TRUNC(F74*H74,2)</f>
        <v>35.170000000000002</v>
      </c>
      <c r="L74" s="14">
        <f t="shared" ref="L74:L99" si="34">M74-K74</f>
        <v>470.10999999999996</v>
      </c>
      <c r="M74" s="14">
        <f t="shared" ref="M74:M75" si="35">TRUNC(F74 * TRUNC(G74 * (1 + 15.0 / 100), 2), 2)</f>
        <v>505.27999999999997</v>
      </c>
      <c r="N74" s="15">
        <f t="shared" ref="N74:N99" si="36">M74/2321818.86</f>
        <v>2.1762248929272631e-004</v>
      </c>
    </row>
    <row r="75" ht="52" customHeight="1">
      <c r="A75" s="11" t="s">
        <v>169</v>
      </c>
      <c r="B75" s="12" t="s">
        <v>62</v>
      </c>
      <c r="C75" s="11" t="s">
        <v>36</v>
      </c>
      <c r="D75" s="11" t="s">
        <v>63</v>
      </c>
      <c r="E75" s="13" t="s">
        <v>60</v>
      </c>
      <c r="F75" s="12">
        <v>3944.1999999999998</v>
      </c>
      <c r="G75" s="14">
        <v>0.54000000000000004</v>
      </c>
      <c r="H75" s="14">
        <v>2.9999999999999999e-002</v>
      </c>
      <c r="I75" s="14">
        <v>0.58999999999999997</v>
      </c>
      <c r="J75" s="14" t="str">
        <f t="shared" si="32"/>
        <v xml:space="preserve">0.62
(15.0%)</v>
      </c>
      <c r="K75" s="14">
        <f t="shared" si="33"/>
        <v>118.31999999999999</v>
      </c>
      <c r="L75" s="14">
        <f t="shared" si="34"/>
        <v>2327.0799999999999</v>
      </c>
      <c r="M75" s="14">
        <f t="shared" si="35"/>
        <v>2445.4000000000001</v>
      </c>
      <c r="N75" s="15">
        <f t="shared" si="36"/>
        <v>1.0532260040303058e-003</v>
      </c>
    </row>
    <row r="76" ht="39" customHeight="1">
      <c r="A76" s="11" t="s">
        <v>170</v>
      </c>
      <c r="B76" s="12" t="s">
        <v>51</v>
      </c>
      <c r="C76" s="11" t="s">
        <v>27</v>
      </c>
      <c r="D76" s="11" t="s">
        <v>52</v>
      </c>
      <c r="E76" s="13" t="s">
        <v>33</v>
      </c>
      <c r="F76" s="12">
        <v>1622.1800000000001</v>
      </c>
      <c r="G76" s="14">
        <v>1.04</v>
      </c>
      <c r="H76" s="14">
        <v>0.42999999999999999</v>
      </c>
      <c r="I76" s="14">
        <v>0.81999999999999995</v>
      </c>
      <c r="J76" s="14">
        <f>TRUNC(G76 * (1 + 20.33 / 100), 2)</f>
        <v>1.25</v>
      </c>
      <c r="K76" s="14">
        <f t="shared" si="33"/>
        <v>697.52999999999997</v>
      </c>
      <c r="L76" s="14">
        <f t="shared" si="34"/>
        <v>1330.1900000000001</v>
      </c>
      <c r="M76" s="14">
        <f>TRUNC(F76 * j76, 2)</f>
        <v>2027.72</v>
      </c>
      <c r="N76" s="15">
        <f t="shared" si="36"/>
        <v>8.7333255618399111e-004</v>
      </c>
    </row>
    <row r="77" ht="24" customHeight="1">
      <c r="A77" s="16" t="s">
        <v>171</v>
      </c>
      <c r="B77" s="17" t="s">
        <v>54</v>
      </c>
      <c r="C77" s="16" t="s">
        <v>27</v>
      </c>
      <c r="D77" s="16" t="s">
        <v>55</v>
      </c>
      <c r="E77" s="18" t="s">
        <v>56</v>
      </c>
      <c r="F77" s="17">
        <v>729.98000000000002</v>
      </c>
      <c r="G77" s="19">
        <v>3.2200000000000002</v>
      </c>
      <c r="H77" s="19">
        <v>0</v>
      </c>
      <c r="I77" s="19">
        <v>3.7000000000000002</v>
      </c>
      <c r="J77" s="19" t="str">
        <f t="shared" ref="J77:J79" si="37">TRUNC(G77 * (1 + 15.0 / 100), 2) &amp;CHAR(10)&amp; "(15.0%)"</f>
        <v xml:space="preserve">3.7
(15.0%)</v>
      </c>
      <c r="K77" s="19">
        <f t="shared" si="33"/>
        <v>0</v>
      </c>
      <c r="L77" s="19">
        <f t="shared" si="34"/>
        <v>2700.9200000000001</v>
      </c>
      <c r="M77" s="19">
        <f t="shared" ref="M77:M79" si="38">TRUNC(F77 * TRUNC(G77 * (1 + 15.0 / 100), 2), 2)</f>
        <v>2700.9200000000001</v>
      </c>
      <c r="N77" s="20">
        <f t="shared" si="36"/>
        <v>1.1632776555187429e-003</v>
      </c>
    </row>
    <row r="78" ht="39" customHeight="1">
      <c r="A78" s="11" t="s">
        <v>172</v>
      </c>
      <c r="B78" s="12" t="s">
        <v>58</v>
      </c>
      <c r="C78" s="11" t="s">
        <v>36</v>
      </c>
      <c r="D78" s="11" t="s">
        <v>59</v>
      </c>
      <c r="E78" s="13" t="s">
        <v>60</v>
      </c>
      <c r="F78" s="12">
        <v>21.899999999999999</v>
      </c>
      <c r="G78" s="14">
        <v>1.3799999999999999</v>
      </c>
      <c r="H78" s="14">
        <v>0.11</v>
      </c>
      <c r="I78" s="14">
        <v>1.47</v>
      </c>
      <c r="J78" s="14" t="str">
        <f t="shared" si="37"/>
        <v xml:space="preserve">1.58
(15.0%)</v>
      </c>
      <c r="K78" s="14">
        <f t="shared" si="33"/>
        <v>2.3999999999999999</v>
      </c>
      <c r="L78" s="14">
        <f t="shared" si="34"/>
        <v>32.200000000000003</v>
      </c>
      <c r="M78" s="14">
        <f t="shared" si="38"/>
        <v>34.600000000000001</v>
      </c>
      <c r="N78" s="15">
        <f t="shared" si="36"/>
        <v>1.4902109977692232e-005</v>
      </c>
    </row>
    <row r="79" ht="52" customHeight="1">
      <c r="A79" s="11" t="s">
        <v>173</v>
      </c>
      <c r="B79" s="12" t="s">
        <v>62</v>
      </c>
      <c r="C79" s="11" t="s">
        <v>36</v>
      </c>
      <c r="D79" s="11" t="s">
        <v>63</v>
      </c>
      <c r="E79" s="13" t="s">
        <v>60</v>
      </c>
      <c r="F79" s="12">
        <v>120.45</v>
      </c>
      <c r="G79" s="14">
        <v>0.54000000000000004</v>
      </c>
      <c r="H79" s="14">
        <v>2.9999999999999999e-002</v>
      </c>
      <c r="I79" s="14">
        <v>0.58999999999999997</v>
      </c>
      <c r="J79" s="14" t="str">
        <f t="shared" si="37"/>
        <v xml:space="preserve">0.62
(15.0%)</v>
      </c>
      <c r="K79" s="14">
        <f t="shared" si="33"/>
        <v>3.6099999999999999</v>
      </c>
      <c r="L79" s="14">
        <f t="shared" si="34"/>
        <v>71.060000000000002</v>
      </c>
      <c r="M79" s="14">
        <f t="shared" si="38"/>
        <v>74.670000000000002</v>
      </c>
      <c r="N79" s="15">
        <f t="shared" si="36"/>
        <v>3.2160131561684361e-005</v>
      </c>
    </row>
    <row r="80" ht="26" customHeight="1">
      <c r="A80" s="11" t="s">
        <v>174</v>
      </c>
      <c r="B80" s="12" t="s">
        <v>65</v>
      </c>
      <c r="C80" s="11" t="s">
        <v>66</v>
      </c>
      <c r="D80" s="11" t="s">
        <v>67</v>
      </c>
      <c r="E80" s="13" t="s">
        <v>68</v>
      </c>
      <c r="F80" s="12">
        <v>124.11</v>
      </c>
      <c r="G80" s="14">
        <v>186.06999999999999</v>
      </c>
      <c r="H80" s="14">
        <v>3</v>
      </c>
      <c r="I80" s="14">
        <v>220.88999999999999</v>
      </c>
      <c r="J80" s="14">
        <f>TRUNC(G80 * (1 + 20.33 / 100), 2)</f>
        <v>223.88999999999999</v>
      </c>
      <c r="K80" s="14">
        <f t="shared" si="33"/>
        <v>372.32999999999998</v>
      </c>
      <c r="L80" s="14">
        <f t="shared" si="34"/>
        <v>27414.649999999998</v>
      </c>
      <c r="M80" s="14">
        <f>TRUNC(F80 * j80, 2)</f>
        <v>27786.98</v>
      </c>
      <c r="N80" s="15">
        <f t="shared" si="36"/>
        <v>1.1967763927974984e-002</v>
      </c>
    </row>
    <row r="81" ht="26" customHeight="1">
      <c r="A81" s="16" t="s">
        <v>175</v>
      </c>
      <c r="B81" s="17" t="s">
        <v>70</v>
      </c>
      <c r="C81" s="16" t="s">
        <v>27</v>
      </c>
      <c r="D81" s="16" t="s">
        <v>71</v>
      </c>
      <c r="E81" s="18" t="s">
        <v>68</v>
      </c>
      <c r="F81" s="17">
        <v>6.8300000000000001</v>
      </c>
      <c r="G81" s="19">
        <v>3771.0900000000001</v>
      </c>
      <c r="H81" s="19">
        <v>0</v>
      </c>
      <c r="I81" s="19">
        <v>4336.75</v>
      </c>
      <c r="J81" s="19" t="str">
        <f>TRUNC(G81 * (1 + 15.0 / 100), 2) &amp;CHAR(10)&amp; "(15.0%)"</f>
        <v xml:space="preserve">4336.75
(15.0%)</v>
      </c>
      <c r="K81" s="19">
        <f t="shared" si="33"/>
        <v>0</v>
      </c>
      <c r="L81" s="19">
        <f t="shared" si="34"/>
        <v>29620</v>
      </c>
      <c r="M81" s="19">
        <f>TRUNC(F81 * TRUNC(G81 * (1 + 15.0 / 100), 2), 2)</f>
        <v>29620</v>
      </c>
      <c r="N81" s="20">
        <f t="shared" si="36"/>
        <v>1.2757239813272946e-002</v>
      </c>
    </row>
    <row r="82" ht="39" customHeight="1">
      <c r="A82" s="11" t="s">
        <v>176</v>
      </c>
      <c r="B82" s="12" t="s">
        <v>73</v>
      </c>
      <c r="C82" s="11" t="s">
        <v>36</v>
      </c>
      <c r="D82" s="11" t="s">
        <v>74</v>
      </c>
      <c r="E82" s="13" t="s">
        <v>60</v>
      </c>
      <c r="F82" s="12">
        <v>2283.6199999999999</v>
      </c>
      <c r="G82" s="14">
        <v>1.6100000000000001</v>
      </c>
      <c r="H82" s="14">
        <v>0.19</v>
      </c>
      <c r="I82" s="14">
        <v>1.74</v>
      </c>
      <c r="J82" s="14">
        <f>TRUNC(G82 * (1 + 20.33 / 100), 2)</f>
        <v>1.9299999999999999</v>
      </c>
      <c r="K82" s="14">
        <f t="shared" si="33"/>
        <v>433.88</v>
      </c>
      <c r="L82" s="14">
        <f t="shared" si="34"/>
        <v>3973.5</v>
      </c>
      <c r="M82" s="14">
        <f>TRUNC(F82 * j82, 2)</f>
        <v>4407.3800000000001</v>
      </c>
      <c r="N82" s="15">
        <f t="shared" si="36"/>
        <v>1.8982445512566817e-003</v>
      </c>
    </row>
    <row r="83" ht="39" customHeight="1">
      <c r="A83" s="11" t="s">
        <v>177</v>
      </c>
      <c r="B83" s="12" t="s">
        <v>58</v>
      </c>
      <c r="C83" s="11" t="s">
        <v>36</v>
      </c>
      <c r="D83" s="11" t="s">
        <v>59</v>
      </c>
      <c r="E83" s="13" t="s">
        <v>60</v>
      </c>
      <c r="F83" s="12">
        <v>204.90000000000001</v>
      </c>
      <c r="G83" s="14">
        <v>1.3799999999999999</v>
      </c>
      <c r="H83" s="14">
        <v>0.11</v>
      </c>
      <c r="I83" s="14">
        <v>1.47</v>
      </c>
      <c r="J83" s="14" t="str">
        <f t="shared" ref="J83:J84" si="39">TRUNC(G83 * (1 + 15.0 / 100), 2) &amp;CHAR(10)&amp; "(15.0%)"</f>
        <v xml:space="preserve">1.58
(15.0%)</v>
      </c>
      <c r="K83" s="14">
        <f t="shared" si="33"/>
        <v>22.530000000000001</v>
      </c>
      <c r="L83" s="14">
        <f t="shared" si="34"/>
        <v>301.21000000000004</v>
      </c>
      <c r="M83" s="14">
        <f t="shared" ref="M83:M84" si="40">TRUNC(F83 * TRUNC(G83 * (1 + 15.0 / 100), 2), 2)</f>
        <v>323.74000000000001</v>
      </c>
      <c r="N83" s="15">
        <f t="shared" si="36"/>
        <v>1.3943378856006022e-004</v>
      </c>
    </row>
    <row r="84" ht="52" customHeight="1">
      <c r="A84" s="11" t="s">
        <v>178</v>
      </c>
      <c r="B84" s="12" t="s">
        <v>62</v>
      </c>
      <c r="C84" s="11" t="s">
        <v>36</v>
      </c>
      <c r="D84" s="11" t="s">
        <v>63</v>
      </c>
      <c r="E84" s="13" t="s">
        <v>60</v>
      </c>
      <c r="F84" s="12">
        <v>2527.0999999999999</v>
      </c>
      <c r="G84" s="14">
        <v>0.54000000000000004</v>
      </c>
      <c r="H84" s="14">
        <v>2.9999999999999999e-002</v>
      </c>
      <c r="I84" s="14">
        <v>0.58999999999999997</v>
      </c>
      <c r="J84" s="14" t="str">
        <f t="shared" si="39"/>
        <v xml:space="preserve">0.62
(15.0%)</v>
      </c>
      <c r="K84" s="14">
        <f t="shared" si="33"/>
        <v>75.810000000000002</v>
      </c>
      <c r="L84" s="14">
        <f t="shared" si="34"/>
        <v>1490.99</v>
      </c>
      <c r="M84" s="14">
        <f t="shared" si="40"/>
        <v>1566.8</v>
      </c>
      <c r="N84" s="15">
        <f t="shared" si="36"/>
        <v>6.7481577783376262e-004</v>
      </c>
    </row>
    <row r="85" ht="24" customHeight="1">
      <c r="A85" s="7" t="s">
        <v>179</v>
      </c>
      <c r="B85" s="7"/>
      <c r="C85" s="7"/>
      <c r="D85" s="7" t="s">
        <v>87</v>
      </c>
      <c r="E85" s="7"/>
      <c r="F85" s="8"/>
      <c r="G85" s="7"/>
      <c r="H85" s="7"/>
      <c r="I85" s="7"/>
      <c r="J85" s="7"/>
      <c r="K85" s="7"/>
      <c r="L85" s="7"/>
      <c r="M85" s="9">
        <v>5254.6000000000004</v>
      </c>
      <c r="N85" s="10">
        <f t="shared" si="36"/>
        <v>2.2631395112364624e-003</v>
      </c>
    </row>
    <row r="86" ht="26" customHeight="1">
      <c r="A86" s="11" t="s">
        <v>180</v>
      </c>
      <c r="B86" s="12" t="s">
        <v>89</v>
      </c>
      <c r="C86" s="11" t="s">
        <v>27</v>
      </c>
      <c r="D86" s="11" t="s">
        <v>90</v>
      </c>
      <c r="E86" s="13" t="s">
        <v>38</v>
      </c>
      <c r="F86" s="12">
        <v>463.48000000000002</v>
      </c>
      <c r="G86" s="14">
        <v>2.6699999999999999</v>
      </c>
      <c r="H86" s="14">
        <v>1.24</v>
      </c>
      <c r="I86" s="14">
        <v>1.97</v>
      </c>
      <c r="J86" s="14">
        <f t="shared" ref="J86:J97" si="41">TRUNC(G86 * (1 + 20.33 / 100), 2)</f>
        <v>3.21</v>
      </c>
      <c r="K86" s="14">
        <f t="shared" si="33"/>
        <v>574.71000000000004</v>
      </c>
      <c r="L86" s="14">
        <f t="shared" si="34"/>
        <v>913.05999999999995</v>
      </c>
      <c r="M86" s="14">
        <f t="shared" ref="M86:M97" si="42">TRUNC(F86 * j86, 2)</f>
        <v>1487.77</v>
      </c>
      <c r="N86" s="15">
        <f t="shared" si="36"/>
        <v>6.40777808136161e-004</v>
      </c>
    </row>
    <row r="87" ht="52" customHeight="1">
      <c r="A87" s="11" t="s">
        <v>181</v>
      </c>
      <c r="B87" s="12" t="s">
        <v>92</v>
      </c>
      <c r="C87" s="11" t="s">
        <v>36</v>
      </c>
      <c r="D87" s="11" t="s">
        <v>93</v>
      </c>
      <c r="E87" s="13" t="s">
        <v>38</v>
      </c>
      <c r="F87" s="12">
        <v>231.74000000000001</v>
      </c>
      <c r="G87" s="14">
        <v>5.5099999999999998</v>
      </c>
      <c r="H87" s="14">
        <v>2.27</v>
      </c>
      <c r="I87" s="14">
        <v>4.3600000000000003</v>
      </c>
      <c r="J87" s="14">
        <f t="shared" si="41"/>
        <v>6.6299999999999999</v>
      </c>
      <c r="K87" s="14">
        <f t="shared" si="33"/>
        <v>526.03999999999996</v>
      </c>
      <c r="L87" s="14">
        <f t="shared" si="34"/>
        <v>1010.3900000000001</v>
      </c>
      <c r="M87" s="14">
        <f t="shared" si="42"/>
        <v>1536.4300000000001</v>
      </c>
      <c r="N87" s="15">
        <f t="shared" si="36"/>
        <v>6.6173551540536638e-004</v>
      </c>
    </row>
    <row r="88" ht="52" customHeight="1">
      <c r="A88" s="11" t="s">
        <v>182</v>
      </c>
      <c r="B88" s="12" t="s">
        <v>95</v>
      </c>
      <c r="C88" s="11" t="s">
        <v>36</v>
      </c>
      <c r="D88" s="11" t="s">
        <v>96</v>
      </c>
      <c r="E88" s="13" t="s">
        <v>33</v>
      </c>
      <c r="F88" s="12">
        <v>80</v>
      </c>
      <c r="G88" s="14">
        <v>23.170000000000002</v>
      </c>
      <c r="H88" s="14">
        <v>12.210000000000001</v>
      </c>
      <c r="I88" s="14">
        <v>15.67</v>
      </c>
      <c r="J88" s="14">
        <f t="shared" si="41"/>
        <v>27.879999999999999</v>
      </c>
      <c r="K88" s="14">
        <f t="shared" si="33"/>
        <v>976.79999999999995</v>
      </c>
      <c r="L88" s="14">
        <f t="shared" si="34"/>
        <v>1253.6000000000001</v>
      </c>
      <c r="M88" s="14">
        <f t="shared" si="42"/>
        <v>2230.4000000000001</v>
      </c>
      <c r="N88" s="15">
        <f t="shared" si="36"/>
        <v>9.6062618769493513e-004</v>
      </c>
    </row>
    <row r="89" ht="26" customHeight="1">
      <c r="A89" s="7" t="s">
        <v>183</v>
      </c>
      <c r="B89" s="7"/>
      <c r="C89" s="7"/>
      <c r="D89" s="7" t="s">
        <v>184</v>
      </c>
      <c r="E89" s="7"/>
      <c r="F89" s="8"/>
      <c r="G89" s="7"/>
      <c r="H89" s="7"/>
      <c r="I89" s="7"/>
      <c r="J89" s="7"/>
      <c r="K89" s="7"/>
      <c r="L89" s="7"/>
      <c r="M89" s="9">
        <v>108926.69</v>
      </c>
      <c r="N89" s="10">
        <f t="shared" si="36"/>
        <v>4.6914379014045916e-002</v>
      </c>
    </row>
    <row r="90" ht="24" customHeight="1">
      <c r="A90" s="7" t="s">
        <v>185</v>
      </c>
      <c r="B90" s="7"/>
      <c r="C90" s="7"/>
      <c r="D90" s="7" t="s">
        <v>24</v>
      </c>
      <c r="E90" s="7"/>
      <c r="F90" s="8"/>
      <c r="G90" s="7"/>
      <c r="H90" s="7"/>
      <c r="I90" s="7"/>
      <c r="J90" s="7"/>
      <c r="K90" s="7"/>
      <c r="L90" s="7"/>
      <c r="M90" s="9">
        <v>2945.3400000000001</v>
      </c>
      <c r="N90" s="10">
        <f t="shared" si="36"/>
        <v>1.2685485723033538e-003</v>
      </c>
    </row>
    <row r="91" ht="24" customHeight="1">
      <c r="A91" s="11" t="s">
        <v>186</v>
      </c>
      <c r="B91" s="12" t="s">
        <v>35</v>
      </c>
      <c r="C91" s="11" t="s">
        <v>36</v>
      </c>
      <c r="D91" s="11" t="s">
        <v>37</v>
      </c>
      <c r="E91" s="13" t="s">
        <v>38</v>
      </c>
      <c r="F91" s="12">
        <v>134.61000000000001</v>
      </c>
      <c r="G91" s="14">
        <v>0.64000000000000001</v>
      </c>
      <c r="H91" s="14">
        <v>0.66000000000000003</v>
      </c>
      <c r="I91" s="14">
        <v>0.11</v>
      </c>
      <c r="J91" s="14">
        <f t="shared" si="41"/>
        <v>0.77000000000000002</v>
      </c>
      <c r="K91" s="14">
        <f t="shared" si="33"/>
        <v>88.840000000000003</v>
      </c>
      <c r="L91" s="14">
        <f t="shared" si="34"/>
        <v>14.799999999999997</v>
      </c>
      <c r="M91" s="14">
        <f t="shared" si="42"/>
        <v>103.64</v>
      </c>
      <c r="N91" s="15">
        <f t="shared" si="36"/>
        <v>4.4637418441850369e-005</v>
      </c>
    </row>
    <row r="92" ht="24" customHeight="1">
      <c r="A92" s="11" t="s">
        <v>187</v>
      </c>
      <c r="B92" s="12" t="s">
        <v>31</v>
      </c>
      <c r="C92" s="11" t="s">
        <v>27</v>
      </c>
      <c r="D92" s="11" t="s">
        <v>32</v>
      </c>
      <c r="E92" s="13" t="s">
        <v>33</v>
      </c>
      <c r="F92" s="12">
        <v>1080.9200000000001</v>
      </c>
      <c r="G92" s="14">
        <v>1.4099999999999999</v>
      </c>
      <c r="H92" s="14">
        <v>1.6299999999999999</v>
      </c>
      <c r="I92" s="14">
        <v>5.9999999999999998e-002</v>
      </c>
      <c r="J92" s="14">
        <f t="shared" si="41"/>
        <v>1.6899999999999999</v>
      </c>
      <c r="K92" s="14">
        <f t="shared" si="33"/>
        <v>1761.8900000000001</v>
      </c>
      <c r="L92" s="14">
        <f t="shared" si="34"/>
        <v>64.8599999999999</v>
      </c>
      <c r="M92" s="14">
        <f t="shared" si="42"/>
        <v>1826.75</v>
      </c>
      <c r="N92" s="15">
        <f t="shared" si="36"/>
        <v>7.8677541623552844e-004</v>
      </c>
    </row>
    <row r="93" ht="26" customHeight="1">
      <c r="A93" s="11" t="s">
        <v>188</v>
      </c>
      <c r="B93" s="12" t="s">
        <v>40</v>
      </c>
      <c r="C93" s="11" t="s">
        <v>36</v>
      </c>
      <c r="D93" s="11" t="s">
        <v>41</v>
      </c>
      <c r="E93" s="13" t="s">
        <v>33</v>
      </c>
      <c r="F93" s="12">
        <v>269.22000000000003</v>
      </c>
      <c r="G93" s="14">
        <v>3.1400000000000001</v>
      </c>
      <c r="H93" s="14">
        <v>2.8500000000000001</v>
      </c>
      <c r="I93" s="14">
        <v>0.92000000000000004</v>
      </c>
      <c r="J93" s="14">
        <f t="shared" si="41"/>
        <v>3.77</v>
      </c>
      <c r="K93" s="14">
        <f t="shared" si="33"/>
        <v>767.26999999999998</v>
      </c>
      <c r="L93" s="14">
        <f t="shared" si="34"/>
        <v>247.68000000000006</v>
      </c>
      <c r="M93" s="14">
        <f t="shared" si="42"/>
        <v>1014.95</v>
      </c>
      <c r="N93" s="15">
        <f t="shared" si="36"/>
        <v>4.371357376259749e-004</v>
      </c>
    </row>
    <row r="94" ht="24" customHeight="1">
      <c r="A94" s="7" t="s">
        <v>189</v>
      </c>
      <c r="B94" s="7"/>
      <c r="C94" s="7"/>
      <c r="D94" s="7" t="s">
        <v>43</v>
      </c>
      <c r="E94" s="7"/>
      <c r="F94" s="8"/>
      <c r="G94" s="7"/>
      <c r="H94" s="7"/>
      <c r="I94" s="7"/>
      <c r="J94" s="7"/>
      <c r="K94" s="7"/>
      <c r="L94" s="7"/>
      <c r="M94" s="9">
        <v>103213.47</v>
      </c>
      <c r="N94" s="10">
        <f t="shared" si="36"/>
        <v>4.4453713327145601e-002</v>
      </c>
    </row>
    <row r="95" ht="24" customHeight="1">
      <c r="A95" s="11" t="s">
        <v>190</v>
      </c>
      <c r="B95" s="12" t="s">
        <v>45</v>
      </c>
      <c r="C95" s="11" t="s">
        <v>27</v>
      </c>
      <c r="D95" s="11" t="s">
        <v>46</v>
      </c>
      <c r="E95" s="13" t="s">
        <v>38</v>
      </c>
      <c r="F95" s="12">
        <v>71</v>
      </c>
      <c r="G95" s="14">
        <v>12.32</v>
      </c>
      <c r="H95" s="14">
        <v>11.25</v>
      </c>
      <c r="I95" s="14">
        <v>3.5699999999999998</v>
      </c>
      <c r="J95" s="14">
        <f t="shared" si="41"/>
        <v>14.82</v>
      </c>
      <c r="K95" s="14">
        <f t="shared" si="33"/>
        <v>798.75</v>
      </c>
      <c r="L95" s="14">
        <f t="shared" si="34"/>
        <v>253.47000000000003</v>
      </c>
      <c r="M95" s="14">
        <f t="shared" si="42"/>
        <v>1052.22</v>
      </c>
      <c r="N95" s="15">
        <f t="shared" si="36"/>
        <v>4.5318780811350637e-004</v>
      </c>
    </row>
    <row r="96" ht="65" customHeight="1">
      <c r="A96" s="11" t="s">
        <v>191</v>
      </c>
      <c r="B96" s="12" t="s">
        <v>48</v>
      </c>
      <c r="C96" s="11" t="s">
        <v>27</v>
      </c>
      <c r="D96" s="11" t="s">
        <v>49</v>
      </c>
      <c r="E96" s="13" t="s">
        <v>38</v>
      </c>
      <c r="F96" s="12">
        <v>71</v>
      </c>
      <c r="G96" s="14">
        <v>55.740000000000002</v>
      </c>
      <c r="H96" s="14">
        <v>18.23</v>
      </c>
      <c r="I96" s="14">
        <v>48.840000000000003</v>
      </c>
      <c r="J96" s="14">
        <f t="shared" si="41"/>
        <v>67.069999999999993</v>
      </c>
      <c r="K96" s="14">
        <f t="shared" si="33"/>
        <v>1294.3299999999999</v>
      </c>
      <c r="L96" s="14">
        <f t="shared" si="34"/>
        <v>3467.6300000000001</v>
      </c>
      <c r="M96" s="14">
        <f t="shared" si="42"/>
        <v>4761.96</v>
      </c>
      <c r="N96" s="15">
        <f t="shared" si="36"/>
        <v>2.0509610297506156e-003</v>
      </c>
    </row>
    <row r="97" ht="39" customHeight="1">
      <c r="A97" s="11" t="s">
        <v>192</v>
      </c>
      <c r="B97" s="12" t="s">
        <v>51</v>
      </c>
      <c r="C97" s="11" t="s">
        <v>27</v>
      </c>
      <c r="D97" s="11" t="s">
        <v>52</v>
      </c>
      <c r="E97" s="13" t="s">
        <v>33</v>
      </c>
      <c r="F97" s="12">
        <v>1080.9200000000001</v>
      </c>
      <c r="G97" s="14">
        <v>1.04</v>
      </c>
      <c r="H97" s="14">
        <v>0.42999999999999999</v>
      </c>
      <c r="I97" s="14">
        <v>0.81999999999999995</v>
      </c>
      <c r="J97" s="14">
        <f t="shared" si="41"/>
        <v>1.25</v>
      </c>
      <c r="K97" s="14">
        <f t="shared" si="33"/>
        <v>464.79000000000002</v>
      </c>
      <c r="L97" s="14">
        <f t="shared" si="34"/>
        <v>886.36000000000013</v>
      </c>
      <c r="M97" s="14">
        <f t="shared" si="42"/>
        <v>1351.1500000000001</v>
      </c>
      <c r="N97" s="15">
        <f t="shared" si="36"/>
        <v>5.81936008565285e-004</v>
      </c>
    </row>
    <row r="98" ht="24" customHeight="1">
      <c r="A98" s="16" t="s">
        <v>193</v>
      </c>
      <c r="B98" s="17" t="s">
        <v>54</v>
      </c>
      <c r="C98" s="16" t="s">
        <v>27</v>
      </c>
      <c r="D98" s="16" t="s">
        <v>55</v>
      </c>
      <c r="E98" s="18" t="s">
        <v>56</v>
      </c>
      <c r="F98" s="17">
        <v>486.61000000000001</v>
      </c>
      <c r="G98" s="19">
        <v>3.2200000000000002</v>
      </c>
      <c r="H98" s="19">
        <v>0</v>
      </c>
      <c r="I98" s="19">
        <v>3.7000000000000002</v>
      </c>
      <c r="J98" s="19" t="str">
        <f t="shared" ref="J98:J99" si="43">TRUNC(G98 * (1 + 15.0 / 100), 2) &amp;CHAR(10)&amp; "(15.0%)"</f>
        <v xml:space="preserve">3.7
(15.0%)</v>
      </c>
      <c r="K98" s="19">
        <f t="shared" si="33"/>
        <v>0</v>
      </c>
      <c r="L98" s="19">
        <f t="shared" si="34"/>
        <v>1800.45</v>
      </c>
      <c r="M98" s="19">
        <f t="shared" ref="M98:M99" si="44">TRUNC(F98 * TRUNC(G98 * (1 + 15.0 / 100), 2), 2)</f>
        <v>1800.45</v>
      </c>
      <c r="N98" s="20">
        <f t="shared" si="36"/>
        <v>7.7544808986520174e-004</v>
      </c>
    </row>
    <row r="99" ht="39" customHeight="1">
      <c r="A99" s="11" t="s">
        <v>194</v>
      </c>
      <c r="B99" s="12" t="s">
        <v>58</v>
      </c>
      <c r="C99" s="11" t="s">
        <v>36</v>
      </c>
      <c r="D99" s="11" t="s">
        <v>59</v>
      </c>
      <c r="E99" s="13" t="s">
        <v>60</v>
      </c>
      <c r="F99" s="12">
        <v>14.59</v>
      </c>
      <c r="G99" s="14">
        <v>1.3799999999999999</v>
      </c>
      <c r="H99" s="14">
        <v>0.11</v>
      </c>
      <c r="I99" s="14">
        <v>1.47</v>
      </c>
      <c r="J99" s="14" t="str">
        <f t="shared" si="43"/>
        <v xml:space="preserve">1.58
(15.0%)</v>
      </c>
      <c r="K99" s="14">
        <f t="shared" si="33"/>
        <v>1.6000000000000001</v>
      </c>
      <c r="L99" s="14">
        <f t="shared" si="34"/>
        <v>21.449999999999999</v>
      </c>
      <c r="M99" s="14">
        <f t="shared" si="44"/>
        <v>23.050000000000001</v>
      </c>
      <c r="N99" s="15">
        <f t="shared" si="36"/>
        <v>9.9275617047920796e-006</v>
      </c>
    </row>
    <row r="100" ht="52" customHeight="1">
      <c r="A100" s="11" t="s">
        <v>195</v>
      </c>
      <c r="B100" s="12" t="s">
        <v>62</v>
      </c>
      <c r="C100" s="11" t="s">
        <v>36</v>
      </c>
      <c r="D100" s="11" t="s">
        <v>63</v>
      </c>
      <c r="E100" s="13" t="s">
        <v>60</v>
      </c>
      <c r="F100" s="12">
        <v>80.260000000000005</v>
      </c>
      <c r="G100" s="14">
        <v>0.54000000000000004</v>
      </c>
      <c r="H100" s="14">
        <v>2.9999999999999999e-002</v>
      </c>
      <c r="I100" s="14">
        <v>0.58999999999999997</v>
      </c>
      <c r="J100" s="14" t="str">
        <f>TRUNC(G100 * (1 + 15.0 / 100), 2) &amp;CHAR(10)&amp; "(15.0%)"</f>
        <v xml:space="preserve">0.62
(15.0%)</v>
      </c>
      <c r="K100" s="14">
        <f t="shared" ref="K100:K163" si="45">TRUNC(F100 * h100, 2)</f>
        <v>2.3999999999999999</v>
      </c>
      <c r="L100" s="14">
        <f t="shared" ref="L100:L163" si="46">m100 - k100</f>
        <v>47.359999999999999</v>
      </c>
      <c r="M100" s="14">
        <f>TRUNC(F100 * TRUNC(G100 * (1 + 15.0 / 100), 2), 2)</f>
        <v>49.759999999999998</v>
      </c>
      <c r="N100" s="15">
        <f t="shared" ref="N100:N163" si="47">m100 / 2321818.86</f>
        <v>2.1431473771386284e-005</v>
      </c>
    </row>
    <row r="101" ht="26" customHeight="1">
      <c r="A101" s="11" t="s">
        <v>196</v>
      </c>
      <c r="B101" s="12" t="s">
        <v>65</v>
      </c>
      <c r="C101" s="11" t="s">
        <v>66</v>
      </c>
      <c r="D101" s="11" t="s">
        <v>67</v>
      </c>
      <c r="E101" s="13" t="s">
        <v>68</v>
      </c>
      <c r="F101" s="12">
        <v>103.78</v>
      </c>
      <c r="G101" s="14">
        <v>186.06999999999999</v>
      </c>
      <c r="H101" s="14">
        <v>3</v>
      </c>
      <c r="I101" s="14">
        <v>220.88999999999999</v>
      </c>
      <c r="J101" s="14">
        <f>TRUNC(G101 * (1 + 20.33 / 100), 2)</f>
        <v>223.88999999999999</v>
      </c>
      <c r="K101" s="14">
        <f t="shared" si="45"/>
        <v>311.33999999999997</v>
      </c>
      <c r="L101" s="14">
        <f t="shared" si="46"/>
        <v>22923.959999999999</v>
      </c>
      <c r="M101" s="14">
        <f>TRUNC(F101 * j101, 2)</f>
        <v>23235.299999999999</v>
      </c>
      <c r="N101" s="15">
        <f t="shared" si="47"/>
        <v>1.0007369825568563e-002</v>
      </c>
    </row>
    <row r="102" ht="26" customHeight="1">
      <c r="A102" s="16" t="s">
        <v>197</v>
      </c>
      <c r="B102" s="17" t="s">
        <v>70</v>
      </c>
      <c r="C102" s="16" t="s">
        <v>27</v>
      </c>
      <c r="D102" s="16" t="s">
        <v>71</v>
      </c>
      <c r="E102" s="18" t="s">
        <v>68</v>
      </c>
      <c r="F102" s="17">
        <v>5.9699999999999998</v>
      </c>
      <c r="G102" s="19">
        <v>3771.0900000000001</v>
      </c>
      <c r="H102" s="19">
        <v>0</v>
      </c>
      <c r="I102" s="19">
        <v>4336.75</v>
      </c>
      <c r="J102" s="19" t="str">
        <f>TRUNC(G102 * (1 + 15.0 / 100), 2) &amp;CHAR(10)&amp; "(15.0%)"</f>
        <v xml:space="preserve">4336.75
(15.0%)</v>
      </c>
      <c r="K102" s="19">
        <f t="shared" si="45"/>
        <v>0</v>
      </c>
      <c r="L102" s="19">
        <f t="shared" si="46"/>
        <v>25890.389999999999</v>
      </c>
      <c r="M102" s="19">
        <f>TRUNC(F102 * TRUNC(G102 * (1 + 15.0 / 100), 2), 2)</f>
        <v>25890.389999999999</v>
      </c>
      <c r="N102" s="20">
        <f t="shared" si="47"/>
        <v>1.1150908645819167e-002</v>
      </c>
    </row>
    <row r="103" ht="39" customHeight="1">
      <c r="A103" s="11" t="s">
        <v>198</v>
      </c>
      <c r="B103" s="12" t="s">
        <v>73</v>
      </c>
      <c r="C103" s="11" t="s">
        <v>36</v>
      </c>
      <c r="D103" s="11" t="s">
        <v>74</v>
      </c>
      <c r="E103" s="13" t="s">
        <v>60</v>
      </c>
      <c r="F103" s="12">
        <v>1888.5999999999999</v>
      </c>
      <c r="G103" s="14">
        <v>1.6100000000000001</v>
      </c>
      <c r="H103" s="14">
        <v>0.19</v>
      </c>
      <c r="I103" s="14">
        <v>1.74</v>
      </c>
      <c r="J103" s="14">
        <f>TRUNC(G103 * (1 + 20.33 / 100), 2)</f>
        <v>1.9299999999999999</v>
      </c>
      <c r="K103" s="14">
        <f t="shared" si="45"/>
        <v>358.82999999999998</v>
      </c>
      <c r="L103" s="14">
        <f t="shared" si="46"/>
        <v>3286.1599999999999</v>
      </c>
      <c r="M103" s="14">
        <f>TRUNC(F103 * j103, 2)</f>
        <v>3644.9899999999998</v>
      </c>
      <c r="N103" s="15">
        <f t="shared" si="47"/>
        <v>1.5698856025314568e-003</v>
      </c>
    </row>
    <row r="104" ht="39" customHeight="1">
      <c r="A104" s="11" t="s">
        <v>199</v>
      </c>
      <c r="B104" s="12" t="s">
        <v>58</v>
      </c>
      <c r="C104" s="11" t="s">
        <v>36</v>
      </c>
      <c r="D104" s="11" t="s">
        <v>59</v>
      </c>
      <c r="E104" s="13" t="s">
        <v>60</v>
      </c>
      <c r="F104" s="12">
        <v>179.09999999999999</v>
      </c>
      <c r="G104" s="14">
        <v>1.3799999999999999</v>
      </c>
      <c r="H104" s="14">
        <v>0.11</v>
      </c>
      <c r="I104" s="14">
        <v>1.47</v>
      </c>
      <c r="J104" s="14" t="str">
        <f t="shared" ref="J104:J105" si="48">TRUNC(G104 * (1 + 15.0 / 100), 2) &amp;CHAR(10)&amp; "(15.0%)"</f>
        <v xml:space="preserve">1.58
(15.0%)</v>
      </c>
      <c r="K104" s="14">
        <f t="shared" si="45"/>
        <v>19.699999999999999</v>
      </c>
      <c r="L104" s="14">
        <f t="shared" si="46"/>
        <v>263.27000000000004</v>
      </c>
      <c r="M104" s="14">
        <f t="shared" ref="M104:M105" si="49">TRUNC(F104 * TRUNC(G104 * (1 + 15.0 / 100), 2), 2)</f>
        <v>282.97000000000003</v>
      </c>
      <c r="N104" s="15">
        <f t="shared" si="47"/>
        <v>1.2187427920195292e-004</v>
      </c>
    </row>
    <row r="105" ht="52" customHeight="1">
      <c r="A105" s="11" t="s">
        <v>200</v>
      </c>
      <c r="B105" s="12" t="s">
        <v>62</v>
      </c>
      <c r="C105" s="11" t="s">
        <v>36</v>
      </c>
      <c r="D105" s="11" t="s">
        <v>63</v>
      </c>
      <c r="E105" s="13" t="s">
        <v>60</v>
      </c>
      <c r="F105" s="12">
        <v>2208.9000000000001</v>
      </c>
      <c r="G105" s="14">
        <v>0.54000000000000004</v>
      </c>
      <c r="H105" s="14">
        <v>2.9999999999999999e-002</v>
      </c>
      <c r="I105" s="14">
        <v>0.58999999999999997</v>
      </c>
      <c r="J105" s="14" t="str">
        <f t="shared" si="48"/>
        <v xml:space="preserve">0.62
(15.0%)</v>
      </c>
      <c r="K105" s="14">
        <f t="shared" si="45"/>
        <v>66.260000000000005</v>
      </c>
      <c r="L105" s="14">
        <f t="shared" si="46"/>
        <v>1303.25</v>
      </c>
      <c r="M105" s="14">
        <f t="shared" si="49"/>
        <v>1369.51</v>
      </c>
      <c r="N105" s="15">
        <f t="shared" si="47"/>
        <v>5.8984360218350537e-004</v>
      </c>
    </row>
    <row r="106" ht="39" customHeight="1">
      <c r="A106" s="11" t="s">
        <v>201</v>
      </c>
      <c r="B106" s="12" t="s">
        <v>51</v>
      </c>
      <c r="C106" s="11" t="s">
        <v>27</v>
      </c>
      <c r="D106" s="11" t="s">
        <v>52</v>
      </c>
      <c r="E106" s="13" t="s">
        <v>33</v>
      </c>
      <c r="F106" s="12">
        <v>942.26999999999998</v>
      </c>
      <c r="G106" s="14">
        <v>1.04</v>
      </c>
      <c r="H106" s="14">
        <v>0.42999999999999999</v>
      </c>
      <c r="I106" s="14">
        <v>0.81999999999999995</v>
      </c>
      <c r="J106" s="14">
        <f>TRUNC(G106 * (1 + 20.33 / 100), 2)</f>
        <v>1.25</v>
      </c>
      <c r="K106" s="14">
        <f t="shared" si="45"/>
        <v>405.17000000000002</v>
      </c>
      <c r="L106" s="14">
        <f t="shared" si="46"/>
        <v>772.65999999999985</v>
      </c>
      <c r="M106" s="14">
        <f>TRUNC(F106 * j106, 2)</f>
        <v>1177.8299999999999</v>
      </c>
      <c r="N106" s="15">
        <f t="shared" si="47"/>
        <v>5.072876356943711e-004</v>
      </c>
    </row>
    <row r="107" ht="24" customHeight="1">
      <c r="A107" s="16" t="s">
        <v>202</v>
      </c>
      <c r="B107" s="17" t="s">
        <v>54</v>
      </c>
      <c r="C107" s="16" t="s">
        <v>27</v>
      </c>
      <c r="D107" s="16" t="s">
        <v>55</v>
      </c>
      <c r="E107" s="18" t="s">
        <v>56</v>
      </c>
      <c r="F107" s="17">
        <v>424.01999999999998</v>
      </c>
      <c r="G107" s="19">
        <v>3.2200000000000002</v>
      </c>
      <c r="H107" s="19">
        <v>0</v>
      </c>
      <c r="I107" s="19">
        <v>3.7000000000000002</v>
      </c>
      <c r="J107" s="19" t="str">
        <f t="shared" ref="J107:J109" si="50">TRUNC(G107 * (1 + 15.0 / 100), 2) &amp;CHAR(10)&amp; "(15.0%)"</f>
        <v xml:space="preserve">3.7
(15.0%)</v>
      </c>
      <c r="K107" s="19">
        <f t="shared" si="45"/>
        <v>0</v>
      </c>
      <c r="L107" s="19">
        <f t="shared" si="46"/>
        <v>1568.8699999999999</v>
      </c>
      <c r="M107" s="19">
        <f t="shared" ref="M107:M109" si="51">TRUNC(F107 * TRUNC(G107 * (1 + 15.0 / 100), 2), 2)</f>
        <v>1568.8699999999999</v>
      </c>
      <c r="N107" s="20">
        <f t="shared" si="47"/>
        <v>6.7570732025150316e-004</v>
      </c>
    </row>
    <row r="108" ht="39" customHeight="1">
      <c r="A108" s="11" t="s">
        <v>203</v>
      </c>
      <c r="B108" s="12" t="s">
        <v>58</v>
      </c>
      <c r="C108" s="11" t="s">
        <v>36</v>
      </c>
      <c r="D108" s="11" t="s">
        <v>59</v>
      </c>
      <c r="E108" s="13" t="s">
        <v>60</v>
      </c>
      <c r="F108" s="12">
        <v>12.720000000000001</v>
      </c>
      <c r="G108" s="14">
        <v>1.3799999999999999</v>
      </c>
      <c r="H108" s="14">
        <v>0.11</v>
      </c>
      <c r="I108" s="14">
        <v>1.47</v>
      </c>
      <c r="J108" s="14" t="str">
        <f t="shared" si="50"/>
        <v xml:space="preserve">1.58
(15.0%)</v>
      </c>
      <c r="K108" s="14">
        <f t="shared" si="45"/>
        <v>1.3899999999999999</v>
      </c>
      <c r="L108" s="14">
        <f t="shared" si="46"/>
        <v>18.699999999999999</v>
      </c>
      <c r="M108" s="14">
        <f t="shared" si="51"/>
        <v>20.09</v>
      </c>
      <c r="N108" s="15">
        <f t="shared" si="47"/>
        <v>8.6526991171051137e-006</v>
      </c>
    </row>
    <row r="109" ht="52" customHeight="1">
      <c r="A109" s="11" t="s">
        <v>204</v>
      </c>
      <c r="B109" s="12" t="s">
        <v>62</v>
      </c>
      <c r="C109" s="11" t="s">
        <v>36</v>
      </c>
      <c r="D109" s="11" t="s">
        <v>63</v>
      </c>
      <c r="E109" s="13" t="s">
        <v>60</v>
      </c>
      <c r="F109" s="12">
        <v>69.060000000000002</v>
      </c>
      <c r="G109" s="14">
        <v>0.54000000000000004</v>
      </c>
      <c r="H109" s="14">
        <v>2.9999999999999999e-002</v>
      </c>
      <c r="I109" s="14">
        <v>0.58999999999999997</v>
      </c>
      <c r="J109" s="14" t="str">
        <f t="shared" si="50"/>
        <v xml:space="preserve">0.62
(15.0%)</v>
      </c>
      <c r="K109" s="14">
        <f t="shared" si="45"/>
        <v>2.0699999999999998</v>
      </c>
      <c r="L109" s="14">
        <f t="shared" si="46"/>
        <v>40.740000000000002</v>
      </c>
      <c r="M109" s="14">
        <f t="shared" si="51"/>
        <v>42.810000000000002</v>
      </c>
      <c r="N109" s="15">
        <f t="shared" si="47"/>
        <v>1.8438130871242905e-005</v>
      </c>
    </row>
    <row r="110" ht="26" customHeight="1">
      <c r="A110" s="11" t="s">
        <v>205</v>
      </c>
      <c r="B110" s="12" t="s">
        <v>65</v>
      </c>
      <c r="C110" s="11" t="s">
        <v>66</v>
      </c>
      <c r="D110" s="11" t="s">
        <v>67</v>
      </c>
      <c r="E110" s="13" t="s">
        <v>68</v>
      </c>
      <c r="F110" s="12">
        <v>72.090000000000003</v>
      </c>
      <c r="G110" s="14">
        <v>186.06999999999999</v>
      </c>
      <c r="H110" s="14">
        <v>3</v>
      </c>
      <c r="I110" s="14">
        <v>220.88999999999999</v>
      </c>
      <c r="J110" s="14">
        <f>TRUNC(G110 * (1 + 20.33 / 100), 2)</f>
        <v>223.88999999999999</v>
      </c>
      <c r="K110" s="14">
        <f t="shared" si="45"/>
        <v>216.27000000000001</v>
      </c>
      <c r="L110" s="14">
        <f t="shared" si="46"/>
        <v>15923.959999999999</v>
      </c>
      <c r="M110" s="14">
        <f>TRUNC(F110 * j110, 2)</f>
        <v>16140.23</v>
      </c>
      <c r="N110" s="15">
        <f t="shared" si="47"/>
        <v>6.9515457377239158e-003</v>
      </c>
    </row>
    <row r="111" ht="26" customHeight="1">
      <c r="A111" s="16" t="s">
        <v>206</v>
      </c>
      <c r="B111" s="17" t="s">
        <v>70</v>
      </c>
      <c r="C111" s="16" t="s">
        <v>27</v>
      </c>
      <c r="D111" s="16" t="s">
        <v>71</v>
      </c>
      <c r="E111" s="18" t="s">
        <v>68</v>
      </c>
      <c r="F111" s="17">
        <v>3.96</v>
      </c>
      <c r="G111" s="19">
        <v>3771.0900000000001</v>
      </c>
      <c r="H111" s="19">
        <v>0</v>
      </c>
      <c r="I111" s="19">
        <v>4336.75</v>
      </c>
      <c r="J111" s="19" t="str">
        <f>TRUNC(G111 * (1 + 15.0 / 100), 2) &amp;CHAR(10)&amp; "(15.0%)"</f>
        <v xml:space="preserve">4336.75
(15.0%)</v>
      </c>
      <c r="K111" s="19">
        <f t="shared" si="45"/>
        <v>0</v>
      </c>
      <c r="L111" s="19">
        <f t="shared" si="46"/>
        <v>17173.529999999999</v>
      </c>
      <c r="M111" s="19">
        <f>TRUNC(F111 * TRUNC(G111 * (1 + 15.0 / 100), 2), 2)</f>
        <v>17173.529999999999</v>
      </c>
      <c r="N111" s="20">
        <f t="shared" si="47"/>
        <v>7.3965847619999088e-003</v>
      </c>
    </row>
    <row r="112" ht="39" customHeight="1">
      <c r="A112" s="11" t="s">
        <v>207</v>
      </c>
      <c r="B112" s="12" t="s">
        <v>73</v>
      </c>
      <c r="C112" s="11" t="s">
        <v>36</v>
      </c>
      <c r="D112" s="11" t="s">
        <v>74</v>
      </c>
      <c r="E112" s="13" t="s">
        <v>60</v>
      </c>
      <c r="F112" s="12">
        <v>1312.04</v>
      </c>
      <c r="G112" s="14">
        <v>1.6100000000000001</v>
      </c>
      <c r="H112" s="14">
        <v>0.19</v>
      </c>
      <c r="I112" s="14">
        <v>1.74</v>
      </c>
      <c r="J112" s="14">
        <f>TRUNC(G112 * (1 + 20.33 / 100), 2)</f>
        <v>1.9299999999999999</v>
      </c>
      <c r="K112" s="14">
        <f t="shared" si="45"/>
        <v>249.28</v>
      </c>
      <c r="L112" s="14">
        <f t="shared" si="46"/>
        <v>2282.9499999999998</v>
      </c>
      <c r="M112" s="14">
        <f>TRUNC(F112 * j112, 2)</f>
        <v>2532.23</v>
      </c>
      <c r="N112" s="15">
        <f t="shared" si="47"/>
        <v>1.0906234089251908e-003</v>
      </c>
    </row>
    <row r="113" ht="39" customHeight="1">
      <c r="A113" s="11" t="s">
        <v>208</v>
      </c>
      <c r="B113" s="12" t="s">
        <v>58</v>
      </c>
      <c r="C113" s="11" t="s">
        <v>36</v>
      </c>
      <c r="D113" s="11" t="s">
        <v>59</v>
      </c>
      <c r="E113" s="13" t="s">
        <v>60</v>
      </c>
      <c r="F113" s="12">
        <v>118.8</v>
      </c>
      <c r="G113" s="14">
        <v>1.3799999999999999</v>
      </c>
      <c r="H113" s="14">
        <v>0.11</v>
      </c>
      <c r="I113" s="14">
        <v>1.47</v>
      </c>
      <c r="J113" s="14" t="str">
        <f t="shared" ref="J113:J114" si="52">TRUNC(G113 * (1 + 15.0 / 100), 2) &amp;CHAR(10)&amp; "(15.0%)"</f>
        <v xml:space="preserve">1.58
(15.0%)</v>
      </c>
      <c r="K113" s="14">
        <f t="shared" si="45"/>
        <v>13.06</v>
      </c>
      <c r="L113" s="14">
        <f t="shared" si="46"/>
        <v>174.63999999999999</v>
      </c>
      <c r="M113" s="14">
        <f t="shared" ref="M113:M114" si="53">TRUNC(F113 * TRUNC(G113 * (1 + 15.0 / 100), 2), 2)</f>
        <v>187.69999999999999</v>
      </c>
      <c r="N113" s="15">
        <f t="shared" si="47"/>
        <v>8.0841793144879534e-005</v>
      </c>
    </row>
    <row r="114" ht="52" customHeight="1">
      <c r="A114" s="11" t="s">
        <v>209</v>
      </c>
      <c r="B114" s="12" t="s">
        <v>62</v>
      </c>
      <c r="C114" s="11" t="s">
        <v>36</v>
      </c>
      <c r="D114" s="11" t="s">
        <v>63</v>
      </c>
      <c r="E114" s="13" t="s">
        <v>60</v>
      </c>
      <c r="F114" s="12">
        <v>1465.2</v>
      </c>
      <c r="G114" s="14">
        <v>0.54000000000000004</v>
      </c>
      <c r="H114" s="14">
        <v>2.9999999999999999e-002</v>
      </c>
      <c r="I114" s="14">
        <v>0.58999999999999997</v>
      </c>
      <c r="J114" s="14" t="str">
        <f t="shared" si="52"/>
        <v xml:space="preserve">0.62
(15.0%)</v>
      </c>
      <c r="K114" s="14">
        <f t="shared" si="45"/>
        <v>43.950000000000003</v>
      </c>
      <c r="L114" s="14">
        <f t="shared" si="46"/>
        <v>864.46999999999991</v>
      </c>
      <c r="M114" s="14">
        <f t="shared" si="53"/>
        <v>908.41999999999996</v>
      </c>
      <c r="N114" s="15">
        <f t="shared" si="47"/>
        <v>3.9125360537384902e-004</v>
      </c>
    </row>
    <row r="115" ht="24" customHeight="1">
      <c r="A115" s="7" t="s">
        <v>210</v>
      </c>
      <c r="B115" s="7"/>
      <c r="C115" s="7"/>
      <c r="D115" s="7" t="s">
        <v>87</v>
      </c>
      <c r="E115" s="7"/>
      <c r="F115" s="8"/>
      <c r="G115" s="7"/>
      <c r="H115" s="7"/>
      <c r="I115" s="7"/>
      <c r="J115" s="7"/>
      <c r="K115" s="7"/>
      <c r="L115" s="7"/>
      <c r="M115" s="9">
        <v>2767.8800000000001</v>
      </c>
      <c r="N115" s="10">
        <f t="shared" si="47"/>
        <v>1.1921171145969588e-003</v>
      </c>
    </row>
    <row r="116" ht="26" customHeight="1">
      <c r="A116" s="11" t="s">
        <v>211</v>
      </c>
      <c r="B116" s="12" t="s">
        <v>212</v>
      </c>
      <c r="C116" s="11" t="s">
        <v>36</v>
      </c>
      <c r="D116" s="11" t="s">
        <v>213</v>
      </c>
      <c r="E116" s="13" t="s">
        <v>38</v>
      </c>
      <c r="F116" s="12">
        <v>269.22000000000003</v>
      </c>
      <c r="G116" s="14">
        <v>1.53</v>
      </c>
      <c r="H116" s="14">
        <v>1.24</v>
      </c>
      <c r="I116" s="14">
        <v>0.59999999999999998</v>
      </c>
      <c r="J116" s="14">
        <f t="shared" ref="J116:J126" si="54">TRUNC(G116 * (1 + 20.33 / 100), 2)</f>
        <v>1.8400000000000001</v>
      </c>
      <c r="K116" s="14">
        <f t="shared" si="45"/>
        <v>333.82999999999998</v>
      </c>
      <c r="L116" s="14">
        <f t="shared" si="46"/>
        <v>161.53000000000003</v>
      </c>
      <c r="M116" s="14">
        <f t="shared" ref="M116:M126" si="55">TRUNC(F116 * j116, 2)</f>
        <v>495.36000000000001</v>
      </c>
      <c r="N116" s="15">
        <f t="shared" si="47"/>
        <v>2.1334997683669434e-004</v>
      </c>
    </row>
    <row r="117" ht="52" customHeight="1">
      <c r="A117" s="11" t="s">
        <v>214</v>
      </c>
      <c r="B117" s="12" t="s">
        <v>92</v>
      </c>
      <c r="C117" s="11" t="s">
        <v>36</v>
      </c>
      <c r="D117" s="11" t="s">
        <v>93</v>
      </c>
      <c r="E117" s="13" t="s">
        <v>38</v>
      </c>
      <c r="F117" s="12">
        <v>134.61000000000001</v>
      </c>
      <c r="G117" s="14">
        <v>5.5099999999999998</v>
      </c>
      <c r="H117" s="14">
        <v>2.27</v>
      </c>
      <c r="I117" s="14">
        <v>4.3600000000000003</v>
      </c>
      <c r="J117" s="14">
        <f t="shared" si="54"/>
        <v>6.6299999999999999</v>
      </c>
      <c r="K117" s="14">
        <f t="shared" si="45"/>
        <v>305.56</v>
      </c>
      <c r="L117" s="14">
        <f t="shared" si="46"/>
        <v>586.90000000000009</v>
      </c>
      <c r="M117" s="14">
        <f t="shared" si="55"/>
        <v>892.46000000000004</v>
      </c>
      <c r="N117" s="15">
        <f t="shared" si="47"/>
        <v>3.843796841240234e-004</v>
      </c>
    </row>
    <row r="118" ht="52" customHeight="1">
      <c r="A118" s="11" t="s">
        <v>215</v>
      </c>
      <c r="B118" s="12" t="s">
        <v>95</v>
      </c>
      <c r="C118" s="11" t="s">
        <v>36</v>
      </c>
      <c r="D118" s="11" t="s">
        <v>96</v>
      </c>
      <c r="E118" s="13" t="s">
        <v>33</v>
      </c>
      <c r="F118" s="12">
        <v>49.5</v>
      </c>
      <c r="G118" s="14">
        <v>23.170000000000002</v>
      </c>
      <c r="H118" s="14">
        <v>12.210000000000001</v>
      </c>
      <c r="I118" s="14">
        <v>15.67</v>
      </c>
      <c r="J118" s="14">
        <f t="shared" si="54"/>
        <v>27.879999999999999</v>
      </c>
      <c r="K118" s="14">
        <f t="shared" si="45"/>
        <v>604.38999999999999</v>
      </c>
      <c r="L118" s="14">
        <f t="shared" si="46"/>
        <v>775.66999999999996</v>
      </c>
      <c r="M118" s="14">
        <f t="shared" si="55"/>
        <v>1380.0599999999999</v>
      </c>
      <c r="N118" s="15">
        <f t="shared" si="47"/>
        <v>5.9438745363624102e-004</v>
      </c>
    </row>
    <row r="119" ht="26" customHeight="1">
      <c r="A119" s="7" t="s">
        <v>216</v>
      </c>
      <c r="B119" s="7"/>
      <c r="C119" s="7"/>
      <c r="D119" s="7" t="s">
        <v>217</v>
      </c>
      <c r="E119" s="7"/>
      <c r="F119" s="8"/>
      <c r="G119" s="7"/>
      <c r="H119" s="7"/>
      <c r="I119" s="7"/>
      <c r="J119" s="7"/>
      <c r="K119" s="7"/>
      <c r="L119" s="7"/>
      <c r="M119" s="9">
        <v>782388.70999999996</v>
      </c>
      <c r="N119" s="10">
        <f t="shared" si="47"/>
        <v>0.33697232952961714</v>
      </c>
    </row>
    <row r="120" ht="24" customHeight="1">
      <c r="A120" s="7" t="s">
        <v>218</v>
      </c>
      <c r="B120" s="7"/>
      <c r="C120" s="7"/>
      <c r="D120" s="7" t="s">
        <v>24</v>
      </c>
      <c r="E120" s="7"/>
      <c r="F120" s="8"/>
      <c r="G120" s="7"/>
      <c r="H120" s="7"/>
      <c r="I120" s="7"/>
      <c r="J120" s="7"/>
      <c r="K120" s="7"/>
      <c r="L120" s="7"/>
      <c r="M120" s="9">
        <v>15746.879999999999</v>
      </c>
      <c r="N120" s="10">
        <f t="shared" si="47"/>
        <v>6.7821311435122033e-003</v>
      </c>
    </row>
    <row r="121" ht="24" customHeight="1">
      <c r="A121" s="11" t="s">
        <v>219</v>
      </c>
      <c r="B121" s="12" t="s">
        <v>35</v>
      </c>
      <c r="C121" s="11" t="s">
        <v>36</v>
      </c>
      <c r="D121" s="11" t="s">
        <v>37</v>
      </c>
      <c r="E121" s="13" t="s">
        <v>38</v>
      </c>
      <c r="F121" s="12">
        <v>625</v>
      </c>
      <c r="G121" s="14">
        <v>0.64000000000000001</v>
      </c>
      <c r="H121" s="14">
        <v>0.66000000000000003</v>
      </c>
      <c r="I121" s="14">
        <v>0.11</v>
      </c>
      <c r="J121" s="14">
        <f t="shared" si="54"/>
        <v>0.77000000000000002</v>
      </c>
      <c r="K121" s="14">
        <f t="shared" si="45"/>
        <v>412.5</v>
      </c>
      <c r="L121" s="14">
        <f t="shared" si="46"/>
        <v>68.75</v>
      </c>
      <c r="M121" s="14">
        <f t="shared" si="55"/>
        <v>481.25</v>
      </c>
      <c r="N121" s="15">
        <f t="shared" si="47"/>
        <v>2.0727284470417303e-004</v>
      </c>
    </row>
    <row r="122" ht="24" customHeight="1">
      <c r="A122" s="11" t="s">
        <v>220</v>
      </c>
      <c r="B122" s="12" t="s">
        <v>31</v>
      </c>
      <c r="C122" s="11" t="s">
        <v>27</v>
      </c>
      <c r="D122" s="11" t="s">
        <v>32</v>
      </c>
      <c r="E122" s="13" t="s">
        <v>33</v>
      </c>
      <c r="F122" s="12">
        <v>6244.46</v>
      </c>
      <c r="G122" s="14">
        <v>1.4099999999999999</v>
      </c>
      <c r="H122" s="14">
        <v>1.6299999999999999</v>
      </c>
      <c r="I122" s="14">
        <v>5.9999999999999998e-002</v>
      </c>
      <c r="J122" s="14">
        <f t="shared" si="54"/>
        <v>1.6899999999999999</v>
      </c>
      <c r="K122" s="14">
        <f t="shared" si="45"/>
        <v>10178.459999999999</v>
      </c>
      <c r="L122" s="14">
        <f t="shared" si="46"/>
        <v>374.67000000000007</v>
      </c>
      <c r="M122" s="14">
        <f t="shared" si="55"/>
        <v>10553.129999999999</v>
      </c>
      <c r="N122" s="15">
        <f t="shared" si="47"/>
        <v>4.5451995337827513e-003</v>
      </c>
    </row>
    <row r="123" ht="26" customHeight="1">
      <c r="A123" s="11" t="s">
        <v>221</v>
      </c>
      <c r="B123" s="12" t="s">
        <v>40</v>
      </c>
      <c r="C123" s="11" t="s">
        <v>36</v>
      </c>
      <c r="D123" s="11" t="s">
        <v>41</v>
      </c>
      <c r="E123" s="13" t="s">
        <v>33</v>
      </c>
      <c r="F123" s="12">
        <v>1250</v>
      </c>
      <c r="G123" s="14">
        <v>3.1400000000000001</v>
      </c>
      <c r="H123" s="14">
        <v>2.8500000000000001</v>
      </c>
      <c r="I123" s="14">
        <v>0.92000000000000004</v>
      </c>
      <c r="J123" s="14">
        <f t="shared" si="54"/>
        <v>3.77</v>
      </c>
      <c r="K123" s="14">
        <f t="shared" si="45"/>
        <v>3562.5</v>
      </c>
      <c r="L123" s="14">
        <f t="shared" si="46"/>
        <v>1150</v>
      </c>
      <c r="M123" s="14">
        <f t="shared" si="55"/>
        <v>4712.5</v>
      </c>
      <c r="N123" s="15">
        <f t="shared" si="47"/>
        <v>2.0296587650252785e-003</v>
      </c>
    </row>
    <row r="124" ht="24" customHeight="1">
      <c r="A124" s="7" t="s">
        <v>222</v>
      </c>
      <c r="B124" s="7"/>
      <c r="C124" s="7"/>
      <c r="D124" s="7" t="s">
        <v>108</v>
      </c>
      <c r="E124" s="7"/>
      <c r="F124" s="8"/>
      <c r="G124" s="7"/>
      <c r="H124" s="7"/>
      <c r="I124" s="7"/>
      <c r="J124" s="7"/>
      <c r="K124" s="7"/>
      <c r="L124" s="7"/>
      <c r="M124" s="9">
        <v>207013.94</v>
      </c>
      <c r="N124" s="10">
        <f t="shared" si="47"/>
        <v>8.9160245687727777e-002</v>
      </c>
    </row>
    <row r="125" ht="65" customHeight="1">
      <c r="A125" s="11" t="s">
        <v>223</v>
      </c>
      <c r="B125" s="12" t="s">
        <v>110</v>
      </c>
      <c r="C125" s="11" t="s">
        <v>36</v>
      </c>
      <c r="D125" s="11" t="s">
        <v>111</v>
      </c>
      <c r="E125" s="13" t="s">
        <v>112</v>
      </c>
      <c r="F125" s="12">
        <v>571.45000000000005</v>
      </c>
      <c r="G125" s="14">
        <v>13.24</v>
      </c>
      <c r="H125" s="14">
        <v>4.3600000000000003</v>
      </c>
      <c r="I125" s="14">
        <v>11.57</v>
      </c>
      <c r="J125" s="14">
        <f t="shared" si="54"/>
        <v>15.93</v>
      </c>
      <c r="K125" s="14">
        <f t="shared" si="45"/>
        <v>2491.52</v>
      </c>
      <c r="L125" s="14">
        <f t="shared" si="46"/>
        <v>6611.6700000000001</v>
      </c>
      <c r="M125" s="14">
        <f t="shared" si="55"/>
        <v>9103.1900000000005</v>
      </c>
      <c r="N125" s="15">
        <f t="shared" si="47"/>
        <v>3.9207149863534144e-003</v>
      </c>
    </row>
    <row r="126" ht="39" customHeight="1">
      <c r="A126" s="11" t="s">
        <v>224</v>
      </c>
      <c r="B126" s="12" t="s">
        <v>114</v>
      </c>
      <c r="C126" s="11" t="s">
        <v>36</v>
      </c>
      <c r="D126" s="11" t="s">
        <v>115</v>
      </c>
      <c r="E126" s="13" t="s">
        <v>116</v>
      </c>
      <c r="F126" s="12">
        <v>3000.1100000000001</v>
      </c>
      <c r="G126" s="14">
        <v>2.1600000000000001</v>
      </c>
      <c r="H126" s="14">
        <v>0.20000000000000001</v>
      </c>
      <c r="I126" s="14">
        <v>2.3900000000000001</v>
      </c>
      <c r="J126" s="14">
        <f t="shared" si="54"/>
        <v>2.5899999999999999</v>
      </c>
      <c r="K126" s="14">
        <f t="shared" si="45"/>
        <v>600.01999999999998</v>
      </c>
      <c r="L126" s="14">
        <f t="shared" si="46"/>
        <v>7170.2600000000002</v>
      </c>
      <c r="M126" s="14">
        <f t="shared" si="55"/>
        <v>7770.2799999999997</v>
      </c>
      <c r="N126" s="15">
        <f t="shared" si="47"/>
        <v>3.3466348877879302e-003</v>
      </c>
    </row>
    <row r="127" ht="39" customHeight="1">
      <c r="A127" s="16" t="s">
        <v>225</v>
      </c>
      <c r="B127" s="17" t="s">
        <v>118</v>
      </c>
      <c r="C127" s="16" t="s">
        <v>36</v>
      </c>
      <c r="D127" s="16" t="s">
        <v>119</v>
      </c>
      <c r="E127" s="18" t="s">
        <v>38</v>
      </c>
      <c r="F127" s="17">
        <v>283</v>
      </c>
      <c r="G127" s="19">
        <v>60.43</v>
      </c>
      <c r="H127" s="19">
        <v>0</v>
      </c>
      <c r="I127" s="19">
        <v>69.489999999999995</v>
      </c>
      <c r="J127" s="19" t="str">
        <f>TRUNC(G127 * (1 + 15.0 / 100), 2) &amp;CHAR(10)&amp; "(15.0%)"</f>
        <v xml:space="preserve">69.49
(15.0%)</v>
      </c>
      <c r="K127" s="19">
        <f t="shared" si="45"/>
        <v>0</v>
      </c>
      <c r="L127" s="19">
        <f t="shared" si="46"/>
        <v>19665.66</v>
      </c>
      <c r="M127" s="19">
        <f>TRUNC(F127 * TRUNC(G127 * (1 + 15.0 / 100), 2), 2)</f>
        <v>19665.66</v>
      </c>
      <c r="N127" s="20">
        <f t="shared" si="47"/>
        <v>8.4699372284365027e-003</v>
      </c>
    </row>
    <row r="128" ht="52" customHeight="1">
      <c r="A128" s="11" t="s">
        <v>226</v>
      </c>
      <c r="B128" s="12" t="s">
        <v>121</v>
      </c>
      <c r="C128" s="11" t="s">
        <v>36</v>
      </c>
      <c r="D128" s="11" t="s">
        <v>122</v>
      </c>
      <c r="E128" s="13" t="s">
        <v>38</v>
      </c>
      <c r="F128" s="12">
        <v>283</v>
      </c>
      <c r="G128" s="14">
        <v>69.680000000000007</v>
      </c>
      <c r="H128" s="14">
        <v>41.049999999999997</v>
      </c>
      <c r="I128" s="14">
        <v>42.789999999999999</v>
      </c>
      <c r="J128" s="14">
        <f>TRUNC(G128 * (1 + 20.33 / 100), 2)</f>
        <v>83.840000000000003</v>
      </c>
      <c r="K128" s="14">
        <f t="shared" si="45"/>
        <v>11617.15</v>
      </c>
      <c r="L128" s="14">
        <f t="shared" si="46"/>
        <v>12109.570000000002</v>
      </c>
      <c r="M128" s="14">
        <f>TRUNC(F128 * j128, 2)</f>
        <v>23726.720000000001</v>
      </c>
      <c r="N128" s="15">
        <f t="shared" si="47"/>
        <v>1.021902285693381e-002</v>
      </c>
    </row>
    <row r="129" ht="39" customHeight="1">
      <c r="A129" s="16" t="s">
        <v>227</v>
      </c>
      <c r="B129" s="17" t="s">
        <v>228</v>
      </c>
      <c r="C129" s="16" t="s">
        <v>36</v>
      </c>
      <c r="D129" s="16" t="s">
        <v>229</v>
      </c>
      <c r="E129" s="18" t="s">
        <v>38</v>
      </c>
      <c r="F129" s="17">
        <v>181</v>
      </c>
      <c r="G129" s="19">
        <v>101.15000000000001</v>
      </c>
      <c r="H129" s="19">
        <v>0</v>
      </c>
      <c r="I129" s="19">
        <v>116.31999999999999</v>
      </c>
      <c r="J129" s="19" t="str">
        <f>TRUNC(G129 * (1 + 15.0 / 100), 2) &amp;CHAR(10)&amp; "(15.0%)"</f>
        <v xml:space="preserve">116.32
(15.0%)</v>
      </c>
      <c r="K129" s="19">
        <f t="shared" si="45"/>
        <v>0</v>
      </c>
      <c r="L129" s="19">
        <f t="shared" si="46"/>
        <v>21053.919999999998</v>
      </c>
      <c r="M129" s="19">
        <f>TRUNC(F129 * TRUNC(G129 * (1 + 15.0 / 100), 2), 2)</f>
        <v>21053.919999999998</v>
      </c>
      <c r="N129" s="20">
        <f t="shared" si="47"/>
        <v>9.0678563959980928e-003</v>
      </c>
    </row>
    <row r="130" ht="52" customHeight="1">
      <c r="A130" s="11" t="s">
        <v>230</v>
      </c>
      <c r="B130" s="12" t="s">
        <v>231</v>
      </c>
      <c r="C130" s="11" t="s">
        <v>36</v>
      </c>
      <c r="D130" s="11" t="s">
        <v>232</v>
      </c>
      <c r="E130" s="13" t="s">
        <v>38</v>
      </c>
      <c r="F130" s="12">
        <v>181</v>
      </c>
      <c r="G130" s="14">
        <v>100.92</v>
      </c>
      <c r="H130" s="14">
        <v>58.979999999999997</v>
      </c>
      <c r="I130" s="14">
        <v>62.450000000000003</v>
      </c>
      <c r="J130" s="14">
        <f>TRUNC(G130 * (1 + 20.33 / 100), 2)</f>
        <v>121.43000000000001</v>
      </c>
      <c r="K130" s="14">
        <f t="shared" si="45"/>
        <v>10675.379999999999</v>
      </c>
      <c r="L130" s="14">
        <f t="shared" si="46"/>
        <v>11303.450000000003</v>
      </c>
      <c r="M130" s="14">
        <f>TRUNC(F130 * j130, 2)</f>
        <v>21978.830000000002</v>
      </c>
      <c r="N130" s="15">
        <f t="shared" si="47"/>
        <v>9.4662121919364562e-003</v>
      </c>
    </row>
    <row r="131" ht="26" customHeight="1">
      <c r="A131" s="16" t="s">
        <v>233</v>
      </c>
      <c r="B131" s="17" t="s">
        <v>124</v>
      </c>
      <c r="C131" s="16" t="s">
        <v>36</v>
      </c>
      <c r="D131" s="16" t="s">
        <v>125</v>
      </c>
      <c r="E131" s="18" t="s">
        <v>112</v>
      </c>
      <c r="F131" s="17">
        <v>25.41</v>
      </c>
      <c r="G131" s="19">
        <v>72.129999999999995</v>
      </c>
      <c r="H131" s="19">
        <v>0</v>
      </c>
      <c r="I131" s="19">
        <v>82.939999999999998</v>
      </c>
      <c r="J131" s="19" t="str">
        <f t="shared" ref="J131:J134" si="56">TRUNC(G131 * (1 + 15.0 / 100), 2) &amp;CHAR(10)&amp; "(15.0%)"</f>
        <v xml:space="preserve">82.94
(15.0%)</v>
      </c>
      <c r="K131" s="19">
        <f t="shared" si="45"/>
        <v>0</v>
      </c>
      <c r="L131" s="19">
        <f t="shared" si="46"/>
        <v>2107.5</v>
      </c>
      <c r="M131" s="19">
        <f t="shared" ref="M131:M134" si="57">TRUNC(F131 * TRUNC(G131 * (1 + 15.0 / 100), 2), 2)</f>
        <v>2107.5</v>
      </c>
      <c r="N131" s="20">
        <f t="shared" si="47"/>
        <v>9.0769354849671614e-004</v>
      </c>
    </row>
    <row r="132" ht="26" customHeight="1">
      <c r="A132" s="16" t="s">
        <v>234</v>
      </c>
      <c r="B132" s="17" t="s">
        <v>127</v>
      </c>
      <c r="C132" s="16" t="s">
        <v>36</v>
      </c>
      <c r="D132" s="16" t="s">
        <v>128</v>
      </c>
      <c r="E132" s="18" t="s">
        <v>112</v>
      </c>
      <c r="F132" s="17">
        <v>215.40000000000001</v>
      </c>
      <c r="G132" s="19">
        <v>68.129999999999995</v>
      </c>
      <c r="H132" s="19">
        <v>0</v>
      </c>
      <c r="I132" s="19">
        <v>78.340000000000003</v>
      </c>
      <c r="J132" s="19" t="str">
        <f t="shared" si="56"/>
        <v xml:space="preserve">78.34
(15.0%)</v>
      </c>
      <c r="K132" s="19">
        <f t="shared" si="45"/>
        <v>0</v>
      </c>
      <c r="L132" s="19">
        <f t="shared" si="46"/>
        <v>16874.43</v>
      </c>
      <c r="M132" s="19">
        <f t="shared" si="57"/>
        <v>16874.43</v>
      </c>
      <c r="N132" s="20">
        <f t="shared" si="47"/>
        <v>7.2677633430887033e-003</v>
      </c>
    </row>
    <row r="133" ht="26" customHeight="1">
      <c r="A133" s="16" t="s">
        <v>235</v>
      </c>
      <c r="B133" s="17" t="s">
        <v>130</v>
      </c>
      <c r="C133" s="16" t="s">
        <v>36</v>
      </c>
      <c r="D133" s="16" t="s">
        <v>131</v>
      </c>
      <c r="E133" s="18" t="s">
        <v>112</v>
      </c>
      <c r="F133" s="17">
        <v>101.62</v>
      </c>
      <c r="G133" s="19">
        <v>67.790000000000006</v>
      </c>
      <c r="H133" s="19">
        <v>0</v>
      </c>
      <c r="I133" s="19">
        <v>77.950000000000003</v>
      </c>
      <c r="J133" s="19" t="str">
        <f t="shared" si="56"/>
        <v xml:space="preserve">77.95
(15.0%)</v>
      </c>
      <c r="K133" s="19">
        <f t="shared" si="45"/>
        <v>0</v>
      </c>
      <c r="L133" s="19">
        <f t="shared" si="46"/>
        <v>7921.2700000000004</v>
      </c>
      <c r="M133" s="19">
        <f t="shared" si="57"/>
        <v>7921.2700000000004</v>
      </c>
      <c r="N133" s="20">
        <f t="shared" si="47"/>
        <v>3.4116658006645706e-003</v>
      </c>
    </row>
    <row r="134" ht="26" customHeight="1">
      <c r="A134" s="16" t="s">
        <v>236</v>
      </c>
      <c r="B134" s="17" t="s">
        <v>133</v>
      </c>
      <c r="C134" s="16" t="s">
        <v>36</v>
      </c>
      <c r="D134" s="16" t="s">
        <v>134</v>
      </c>
      <c r="E134" s="18" t="s">
        <v>112</v>
      </c>
      <c r="F134" s="17">
        <v>76.219999999999999</v>
      </c>
      <c r="G134" s="19">
        <v>72.670000000000002</v>
      </c>
      <c r="H134" s="19">
        <v>0</v>
      </c>
      <c r="I134" s="19">
        <v>83.569999999999993</v>
      </c>
      <c r="J134" s="19" t="str">
        <f t="shared" si="56"/>
        <v xml:space="preserve">83.57
(15.0%)</v>
      </c>
      <c r="K134" s="19">
        <f t="shared" si="45"/>
        <v>0</v>
      </c>
      <c r="L134" s="19">
        <f t="shared" si="46"/>
        <v>6369.6999999999998</v>
      </c>
      <c r="M134" s="19">
        <f t="shared" si="57"/>
        <v>6369.6999999999998</v>
      </c>
      <c r="N134" s="20">
        <f t="shared" si="47"/>
        <v>2.7434095354019134e-003</v>
      </c>
    </row>
    <row r="135" ht="39" customHeight="1">
      <c r="A135" s="11" t="s">
        <v>237</v>
      </c>
      <c r="B135" s="12" t="s">
        <v>114</v>
      </c>
      <c r="C135" s="11" t="s">
        <v>36</v>
      </c>
      <c r="D135" s="11" t="s">
        <v>115</v>
      </c>
      <c r="E135" s="13" t="s">
        <v>116</v>
      </c>
      <c r="F135" s="12">
        <v>7703.0699999999997</v>
      </c>
      <c r="G135" s="14">
        <v>2.1600000000000001</v>
      </c>
      <c r="H135" s="14">
        <v>0.20000000000000001</v>
      </c>
      <c r="I135" s="14">
        <v>2.3900000000000001</v>
      </c>
      <c r="J135" s="14">
        <f t="shared" ref="J135:J136" si="58">TRUNC(G135 * (1 + 20.33 / 100), 2)</f>
        <v>2.5899999999999999</v>
      </c>
      <c r="K135" s="14">
        <f t="shared" si="45"/>
        <v>1540.6099999999999</v>
      </c>
      <c r="L135" s="14">
        <f t="shared" si="46"/>
        <v>18410.34</v>
      </c>
      <c r="M135" s="14">
        <f t="shared" ref="M135:M136" si="59">TRUNC(F135 * j135, 2)</f>
        <v>19950.950000000001</v>
      </c>
      <c r="N135" s="15">
        <f t="shared" si="47"/>
        <v>8.5928107242612371e-003</v>
      </c>
    </row>
    <row r="136" ht="26" customHeight="1">
      <c r="A136" s="11" t="s">
        <v>238</v>
      </c>
      <c r="B136" s="12" t="s">
        <v>137</v>
      </c>
      <c r="C136" s="11" t="s">
        <v>27</v>
      </c>
      <c r="D136" s="11" t="s">
        <v>138</v>
      </c>
      <c r="E136" s="13" t="s">
        <v>33</v>
      </c>
      <c r="F136" s="12">
        <v>508.10000000000002</v>
      </c>
      <c r="G136" s="14">
        <v>1.1899999999999999</v>
      </c>
      <c r="H136" s="14">
        <v>0.46999999999999997</v>
      </c>
      <c r="I136" s="14">
        <v>0.95999999999999996</v>
      </c>
      <c r="J136" s="14">
        <f t="shared" si="58"/>
        <v>1.4299999999999999</v>
      </c>
      <c r="K136" s="14">
        <f t="shared" si="45"/>
        <v>238.80000000000001</v>
      </c>
      <c r="L136" s="14">
        <f t="shared" si="46"/>
        <v>487.78000000000003</v>
      </c>
      <c r="M136" s="14">
        <f t="shared" si="59"/>
        <v>726.58000000000004</v>
      </c>
      <c r="N136" s="15">
        <f t="shared" si="47"/>
        <v>3.129356955951336e-004</v>
      </c>
    </row>
    <row r="137" ht="24" customHeight="1">
      <c r="A137" s="16" t="s">
        <v>239</v>
      </c>
      <c r="B137" s="17" t="s">
        <v>140</v>
      </c>
      <c r="C137" s="16" t="s">
        <v>27</v>
      </c>
      <c r="D137" s="16" t="s">
        <v>141</v>
      </c>
      <c r="E137" s="18" t="s">
        <v>56</v>
      </c>
      <c r="F137" s="17">
        <v>609.72000000000003</v>
      </c>
      <c r="G137" s="19">
        <v>4.9400000000000004</v>
      </c>
      <c r="H137" s="19">
        <v>0</v>
      </c>
      <c r="I137" s="19">
        <v>5.6799999999999997</v>
      </c>
      <c r="J137" s="19" t="str">
        <f>TRUNC(G137 * (1 + 15.0 / 100), 2) &amp;CHAR(10)&amp; "(15.0%)"</f>
        <v xml:space="preserve">5.68
(15.0%)</v>
      </c>
      <c r="K137" s="19">
        <f t="shared" si="45"/>
        <v>0</v>
      </c>
      <c r="L137" s="19">
        <f t="shared" si="46"/>
        <v>3463.1999999999998</v>
      </c>
      <c r="M137" s="19">
        <f>TRUNC(F137 * TRUNC(G137 * (1 + 15.0 / 100), 2), 2)</f>
        <v>3463.1999999999998</v>
      </c>
      <c r="N137" s="20">
        <f t="shared" si="47"/>
        <v>1.4915892275937496e-003</v>
      </c>
    </row>
    <row r="138" ht="39" customHeight="1">
      <c r="A138" s="11" t="s">
        <v>240</v>
      </c>
      <c r="B138" s="12" t="s">
        <v>51</v>
      </c>
      <c r="C138" s="11" t="s">
        <v>27</v>
      </c>
      <c r="D138" s="11" t="s">
        <v>52</v>
      </c>
      <c r="E138" s="13" t="s">
        <v>33</v>
      </c>
      <c r="F138" s="12">
        <v>508.10000000000002</v>
      </c>
      <c r="G138" s="14">
        <v>1.04</v>
      </c>
      <c r="H138" s="14">
        <v>0.42999999999999999</v>
      </c>
      <c r="I138" s="14">
        <v>0.81999999999999995</v>
      </c>
      <c r="J138" s="14">
        <f>TRUNC(G138 * (1 + 20.33 / 100), 2)</f>
        <v>1.25</v>
      </c>
      <c r="K138" s="14">
        <f t="shared" si="45"/>
        <v>218.47999999999999</v>
      </c>
      <c r="L138" s="14">
        <f t="shared" si="46"/>
        <v>416.63999999999999</v>
      </c>
      <c r="M138" s="14">
        <f>TRUNC(F138 * j138, 2)</f>
        <v>635.12</v>
      </c>
      <c r="N138" s="15">
        <f t="shared" si="47"/>
        <v>2.73544164422887e-004</v>
      </c>
    </row>
    <row r="139" ht="24" customHeight="1">
      <c r="A139" s="16" t="s">
        <v>241</v>
      </c>
      <c r="B139" s="17" t="s">
        <v>54</v>
      </c>
      <c r="C139" s="16" t="s">
        <v>27</v>
      </c>
      <c r="D139" s="16" t="s">
        <v>55</v>
      </c>
      <c r="E139" s="18" t="s">
        <v>56</v>
      </c>
      <c r="F139" s="17">
        <v>228.65000000000001</v>
      </c>
      <c r="G139" s="19">
        <v>3.2200000000000002</v>
      </c>
      <c r="H139" s="19">
        <v>0</v>
      </c>
      <c r="I139" s="19">
        <v>3.7000000000000002</v>
      </c>
      <c r="J139" s="19" t="str">
        <f>TRUNC(G139 * (1 + 15.0 / 100), 2) &amp;CHAR(10)&amp; "(15.0%)"</f>
        <v xml:space="preserve">3.7
(15.0%)</v>
      </c>
      <c r="K139" s="19">
        <f t="shared" si="45"/>
        <v>0</v>
      </c>
      <c r="L139" s="19">
        <f t="shared" si="46"/>
        <v>846</v>
      </c>
      <c r="M139" s="19">
        <f>TRUNC(F139 * TRUNC(G139 * (1 + 15.0 / 100), 2), 2)</f>
        <v>846</v>
      </c>
      <c r="N139" s="20">
        <f t="shared" si="47"/>
        <v>3.6436950985918002e-004</v>
      </c>
    </row>
    <row r="140" ht="26" customHeight="1">
      <c r="A140" s="11" t="s">
        <v>242</v>
      </c>
      <c r="B140" s="12" t="s">
        <v>65</v>
      </c>
      <c r="C140" s="11" t="s">
        <v>66</v>
      </c>
      <c r="D140" s="11" t="s">
        <v>67</v>
      </c>
      <c r="E140" s="13" t="s">
        <v>68</v>
      </c>
      <c r="F140" s="12">
        <v>36.579999999999998</v>
      </c>
      <c r="G140" s="14">
        <v>186.06999999999999</v>
      </c>
      <c r="H140" s="14">
        <v>3</v>
      </c>
      <c r="I140" s="14">
        <v>220.88999999999999</v>
      </c>
      <c r="J140" s="14">
        <f t="shared" ref="J140:J141" si="60">TRUNC(G140 * (1 + 20.33 / 100), 2)</f>
        <v>223.88999999999999</v>
      </c>
      <c r="K140" s="14">
        <f t="shared" si="45"/>
        <v>109.73999999999999</v>
      </c>
      <c r="L140" s="14">
        <f t="shared" si="46"/>
        <v>8080.1500000000005</v>
      </c>
      <c r="M140" s="14">
        <f t="shared" ref="M140:M141" si="61">TRUNC(F140 * j140, 2)</f>
        <v>8189.8900000000003</v>
      </c>
      <c r="N140" s="15">
        <f t="shared" si="47"/>
        <v>3.5273595804971628e-003</v>
      </c>
    </row>
    <row r="141" ht="39" customHeight="1">
      <c r="A141" s="11" t="s">
        <v>243</v>
      </c>
      <c r="B141" s="12" t="s">
        <v>73</v>
      </c>
      <c r="C141" s="11" t="s">
        <v>36</v>
      </c>
      <c r="D141" s="11" t="s">
        <v>74</v>
      </c>
      <c r="E141" s="13" t="s">
        <v>60</v>
      </c>
      <c r="F141" s="12">
        <v>673.08000000000004</v>
      </c>
      <c r="G141" s="14">
        <v>1.6100000000000001</v>
      </c>
      <c r="H141" s="14">
        <v>0.19</v>
      </c>
      <c r="I141" s="14">
        <v>1.74</v>
      </c>
      <c r="J141" s="14">
        <f t="shared" si="60"/>
        <v>1.9299999999999999</v>
      </c>
      <c r="K141" s="14">
        <f t="shared" si="45"/>
        <v>127.88</v>
      </c>
      <c r="L141" s="14">
        <f t="shared" si="46"/>
        <v>1171.1599999999999</v>
      </c>
      <c r="M141" s="14">
        <f t="shared" si="61"/>
        <v>1299.04</v>
      </c>
      <c r="N141" s="15">
        <f t="shared" si="47"/>
        <v>5.5949239726651198e-004</v>
      </c>
    </row>
    <row r="142" ht="26" customHeight="1">
      <c r="A142" s="16" t="s">
        <v>244</v>
      </c>
      <c r="B142" s="17" t="s">
        <v>70</v>
      </c>
      <c r="C142" s="16" t="s">
        <v>27</v>
      </c>
      <c r="D142" s="16" t="s">
        <v>71</v>
      </c>
      <c r="E142" s="18" t="s">
        <v>68</v>
      </c>
      <c r="F142" s="17">
        <v>2.1000000000000001</v>
      </c>
      <c r="G142" s="19">
        <v>3771.0900000000001</v>
      </c>
      <c r="H142" s="19">
        <v>0</v>
      </c>
      <c r="I142" s="19">
        <v>4336.75</v>
      </c>
      <c r="J142" s="19" t="str">
        <f t="shared" ref="J142:J143" si="62">TRUNC(G142 * (1 + 15.0 / 100), 2) &amp;CHAR(10)&amp; "(15.0%)"</f>
        <v xml:space="preserve">4336.75
(15.0%)</v>
      </c>
      <c r="K142" s="19">
        <f t="shared" si="45"/>
        <v>0</v>
      </c>
      <c r="L142" s="19">
        <f t="shared" si="46"/>
        <v>9107.1700000000001</v>
      </c>
      <c r="M142" s="19">
        <f t="shared" ref="M142:M143" si="63">TRUNC(F142 * TRUNC(G142 * (1 + 15.0 / 100), 2), 2)</f>
        <v>9107.1700000000001</v>
      </c>
      <c r="N142" s="20">
        <f t="shared" si="47"/>
        <v>3.922429159697669e-003</v>
      </c>
    </row>
    <row r="143" ht="52" customHeight="1">
      <c r="A143" s="11" t="s">
        <v>245</v>
      </c>
      <c r="B143" s="12" t="s">
        <v>62</v>
      </c>
      <c r="C143" s="11" t="s">
        <v>36</v>
      </c>
      <c r="D143" s="11" t="s">
        <v>63</v>
      </c>
      <c r="E143" s="13" t="s">
        <v>60</v>
      </c>
      <c r="F143" s="12">
        <v>1124.5899999999999</v>
      </c>
      <c r="G143" s="14">
        <v>0.54000000000000004</v>
      </c>
      <c r="H143" s="14">
        <v>2.9999999999999999e-002</v>
      </c>
      <c r="I143" s="14">
        <v>0.58999999999999997</v>
      </c>
      <c r="J143" s="14" t="str">
        <f t="shared" si="62"/>
        <v xml:space="preserve">0.62
(15.0%)</v>
      </c>
      <c r="K143" s="14">
        <f t="shared" si="45"/>
        <v>33.729999999999997</v>
      </c>
      <c r="L143" s="14">
        <f t="shared" si="46"/>
        <v>663.50999999999999</v>
      </c>
      <c r="M143" s="14">
        <f t="shared" si="63"/>
        <v>697.24000000000001</v>
      </c>
      <c r="N143" s="15">
        <f t="shared" si="47"/>
        <v>3.0029905089150669e-004</v>
      </c>
    </row>
    <row r="144" ht="39" customHeight="1">
      <c r="A144" s="11" t="s">
        <v>246</v>
      </c>
      <c r="B144" s="12" t="s">
        <v>153</v>
      </c>
      <c r="C144" s="11" t="s">
        <v>36</v>
      </c>
      <c r="D144" s="11" t="s">
        <v>154</v>
      </c>
      <c r="E144" s="13" t="s">
        <v>151</v>
      </c>
      <c r="F144" s="12">
        <v>6</v>
      </c>
      <c r="G144" s="14">
        <v>1506.1800000000001</v>
      </c>
      <c r="H144" s="14">
        <v>483.20999999999998</v>
      </c>
      <c r="I144" s="14">
        <v>1329.1700000000001</v>
      </c>
      <c r="J144" s="14">
        <f t="shared" ref="J144:J153" si="64">TRUNC(G144 * (1 + 20.33 / 100), 2)</f>
        <v>1812.3800000000001</v>
      </c>
      <c r="K144" s="14">
        <f t="shared" si="45"/>
        <v>2899.2600000000002</v>
      </c>
      <c r="L144" s="14">
        <f t="shared" si="46"/>
        <v>7975.0200000000004</v>
      </c>
      <c r="M144" s="14">
        <f t="shared" ref="M144:M153" si="65">TRUNC(F144 * j144, 2)</f>
        <v>10874.280000000001</v>
      </c>
      <c r="N144" s="15">
        <f t="shared" si="47"/>
        <v>4.6835178175785863e-003</v>
      </c>
    </row>
    <row r="145" ht="52" customHeight="1">
      <c r="A145" s="11" t="s">
        <v>247</v>
      </c>
      <c r="B145" s="12" t="s">
        <v>149</v>
      </c>
      <c r="C145" s="11" t="s">
        <v>27</v>
      </c>
      <c r="D145" s="11" t="s">
        <v>150</v>
      </c>
      <c r="E145" s="13" t="s">
        <v>151</v>
      </c>
      <c r="F145" s="12">
        <v>1</v>
      </c>
      <c r="G145" s="14">
        <v>2785.9699999999998</v>
      </c>
      <c r="H145" s="14">
        <v>979.30999999999995</v>
      </c>
      <c r="I145" s="14">
        <v>2373.04</v>
      </c>
      <c r="J145" s="14">
        <f t="shared" si="64"/>
        <v>3352.3499999999999</v>
      </c>
      <c r="K145" s="14">
        <f t="shared" si="45"/>
        <v>979.30999999999995</v>
      </c>
      <c r="L145" s="14">
        <f t="shared" si="46"/>
        <v>2373.04</v>
      </c>
      <c r="M145" s="14">
        <f t="shared" si="65"/>
        <v>3352.3499999999999</v>
      </c>
      <c r="N145" s="15">
        <f t="shared" si="47"/>
        <v>1.4438464850785131e-003</v>
      </c>
    </row>
    <row r="146" ht="65" customHeight="1">
      <c r="A146" s="11" t="s">
        <v>248</v>
      </c>
      <c r="B146" s="12" t="s">
        <v>249</v>
      </c>
      <c r="C146" s="11" t="s">
        <v>27</v>
      </c>
      <c r="D146" s="11" t="s">
        <v>250</v>
      </c>
      <c r="E146" s="13" t="s">
        <v>29</v>
      </c>
      <c r="F146" s="12">
        <v>1</v>
      </c>
      <c r="G146" s="14">
        <v>910.23000000000002</v>
      </c>
      <c r="H146" s="14">
        <v>359.27999999999997</v>
      </c>
      <c r="I146" s="14">
        <v>735.99000000000001</v>
      </c>
      <c r="J146" s="14">
        <f t="shared" si="64"/>
        <v>1095.27</v>
      </c>
      <c r="K146" s="14">
        <f t="shared" si="45"/>
        <v>359.27999999999997</v>
      </c>
      <c r="L146" s="14">
        <f t="shared" si="46"/>
        <v>735.99000000000001</v>
      </c>
      <c r="M146" s="14">
        <f t="shared" si="65"/>
        <v>1095.27</v>
      </c>
      <c r="N146" s="15">
        <f t="shared" si="47"/>
        <v>4.7172930622158872e-004</v>
      </c>
    </row>
    <row r="147" ht="65" customHeight="1">
      <c r="A147" s="11" t="s">
        <v>251</v>
      </c>
      <c r="B147" s="12" t="s">
        <v>156</v>
      </c>
      <c r="C147" s="11" t="s">
        <v>27</v>
      </c>
      <c r="D147" s="11" t="s">
        <v>157</v>
      </c>
      <c r="E147" s="13" t="s">
        <v>29</v>
      </c>
      <c r="F147" s="12">
        <v>3</v>
      </c>
      <c r="G147" s="14">
        <v>1414.71</v>
      </c>
      <c r="H147" s="14">
        <v>560.89999999999998</v>
      </c>
      <c r="I147" s="14">
        <v>1141.4200000000001</v>
      </c>
      <c r="J147" s="14">
        <f t="shared" si="64"/>
        <v>1702.3199999999999</v>
      </c>
      <c r="K147" s="14">
        <f t="shared" si="45"/>
        <v>1682.6900000000001</v>
      </c>
      <c r="L147" s="14">
        <f t="shared" si="46"/>
        <v>3424.27</v>
      </c>
      <c r="M147" s="14">
        <f t="shared" si="65"/>
        <v>5106.96</v>
      </c>
      <c r="N147" s="15">
        <f t="shared" si="47"/>
        <v>2.1995514327073735e-003</v>
      </c>
    </row>
    <row r="148" ht="39" customHeight="1">
      <c r="A148" s="11" t="s">
        <v>252</v>
      </c>
      <c r="B148" s="12" t="s">
        <v>253</v>
      </c>
      <c r="C148" s="11" t="s">
        <v>36</v>
      </c>
      <c r="D148" s="11" t="s">
        <v>254</v>
      </c>
      <c r="E148" s="13" t="s">
        <v>151</v>
      </c>
      <c r="F148" s="12">
        <v>1</v>
      </c>
      <c r="G148" s="14">
        <v>2774.9099999999999</v>
      </c>
      <c r="H148" s="14">
        <v>674.88</v>
      </c>
      <c r="I148" s="14">
        <v>2664.1599999999999</v>
      </c>
      <c r="J148" s="14">
        <f t="shared" si="64"/>
        <v>3339.04</v>
      </c>
      <c r="K148" s="14">
        <f t="shared" si="45"/>
        <v>674.88</v>
      </c>
      <c r="L148" s="14">
        <f t="shared" si="46"/>
        <v>2664.1599999999999</v>
      </c>
      <c r="M148" s="14">
        <f t="shared" si="65"/>
        <v>3339.04</v>
      </c>
      <c r="N148" s="15">
        <f t="shared" si="47"/>
        <v>1.4381139104021232e-003</v>
      </c>
    </row>
    <row r="149" ht="52" customHeight="1">
      <c r="A149" s="11" t="s">
        <v>255</v>
      </c>
      <c r="B149" s="12" t="s">
        <v>256</v>
      </c>
      <c r="C149" s="11" t="s">
        <v>27</v>
      </c>
      <c r="D149" s="11" t="s">
        <v>257</v>
      </c>
      <c r="E149" s="13" t="s">
        <v>29</v>
      </c>
      <c r="F149" s="12">
        <v>1</v>
      </c>
      <c r="G149" s="14">
        <v>1462.0999999999999</v>
      </c>
      <c r="H149" s="14">
        <v>441.50999999999999</v>
      </c>
      <c r="I149" s="14">
        <v>1317.8299999999999</v>
      </c>
      <c r="J149" s="14">
        <f t="shared" si="64"/>
        <v>1759.3399999999999</v>
      </c>
      <c r="K149" s="14">
        <f t="shared" si="45"/>
        <v>441.50999999999999</v>
      </c>
      <c r="L149" s="14">
        <f t="shared" si="46"/>
        <v>1317.8299999999999</v>
      </c>
      <c r="M149" s="14">
        <f t="shared" si="65"/>
        <v>1759.3399999999999</v>
      </c>
      <c r="N149" s="15">
        <f t="shared" si="47"/>
        <v>7.5774214358823846e-004</v>
      </c>
    </row>
    <row r="150" ht="24" customHeight="1">
      <c r="A150" s="7" t="s">
        <v>258</v>
      </c>
      <c r="B150" s="7"/>
      <c r="C150" s="7"/>
      <c r="D150" s="7" t="s">
        <v>43</v>
      </c>
      <c r="E150" s="7"/>
      <c r="F150" s="8"/>
      <c r="G150" s="7"/>
      <c r="H150" s="7"/>
      <c r="I150" s="7"/>
      <c r="J150" s="7"/>
      <c r="K150" s="7"/>
      <c r="L150" s="7"/>
      <c r="M150" s="9">
        <v>533812.15000000002</v>
      </c>
      <c r="N150" s="10">
        <f t="shared" si="47"/>
        <v>0.2299111955701833</v>
      </c>
    </row>
    <row r="151" ht="24" customHeight="1">
      <c r="A151" s="11" t="s">
        <v>259</v>
      </c>
      <c r="B151" s="12" t="s">
        <v>45</v>
      </c>
      <c r="C151" s="11" t="s">
        <v>27</v>
      </c>
      <c r="D151" s="11" t="s">
        <v>46</v>
      </c>
      <c r="E151" s="13" t="s">
        <v>38</v>
      </c>
      <c r="F151" s="12">
        <v>198</v>
      </c>
      <c r="G151" s="14">
        <v>12.32</v>
      </c>
      <c r="H151" s="14">
        <v>11.25</v>
      </c>
      <c r="I151" s="14">
        <v>3.5699999999999998</v>
      </c>
      <c r="J151" s="14">
        <f t="shared" si="64"/>
        <v>14.82</v>
      </c>
      <c r="K151" s="14">
        <f t="shared" si="45"/>
        <v>2227.5</v>
      </c>
      <c r="L151" s="14">
        <f t="shared" si="46"/>
        <v>706.86000000000013</v>
      </c>
      <c r="M151" s="14">
        <f t="shared" si="65"/>
        <v>2934.3600000000001</v>
      </c>
      <c r="N151" s="15">
        <f t="shared" si="47"/>
        <v>1.2638195212179473e-003</v>
      </c>
    </row>
    <row r="152" ht="65" customHeight="1">
      <c r="A152" s="11" t="s">
        <v>260</v>
      </c>
      <c r="B152" s="12" t="s">
        <v>48</v>
      </c>
      <c r="C152" s="11" t="s">
        <v>27</v>
      </c>
      <c r="D152" s="11" t="s">
        <v>49</v>
      </c>
      <c r="E152" s="13" t="s">
        <v>38</v>
      </c>
      <c r="F152" s="12">
        <v>198</v>
      </c>
      <c r="G152" s="14">
        <v>55.740000000000002</v>
      </c>
      <c r="H152" s="14">
        <v>18.23</v>
      </c>
      <c r="I152" s="14">
        <v>48.840000000000003</v>
      </c>
      <c r="J152" s="14">
        <f t="shared" si="64"/>
        <v>67.069999999999993</v>
      </c>
      <c r="K152" s="14">
        <f t="shared" si="45"/>
        <v>3609.54</v>
      </c>
      <c r="L152" s="14">
        <f t="shared" si="46"/>
        <v>9670.3100000000013</v>
      </c>
      <c r="M152" s="14">
        <f t="shared" si="65"/>
        <v>13279.85</v>
      </c>
      <c r="N152" s="15">
        <f t="shared" si="47"/>
        <v>5.7195891672617398e-003</v>
      </c>
    </row>
    <row r="153" ht="39" customHeight="1">
      <c r="A153" s="11" t="s">
        <v>261</v>
      </c>
      <c r="B153" s="12" t="s">
        <v>51</v>
      </c>
      <c r="C153" s="11" t="s">
        <v>27</v>
      </c>
      <c r="D153" s="11" t="s">
        <v>52</v>
      </c>
      <c r="E153" s="13" t="s">
        <v>33</v>
      </c>
      <c r="F153" s="12">
        <v>6244.46</v>
      </c>
      <c r="G153" s="14">
        <v>1.04</v>
      </c>
      <c r="H153" s="14">
        <v>0.42999999999999999</v>
      </c>
      <c r="I153" s="14">
        <v>0.81999999999999995</v>
      </c>
      <c r="J153" s="14">
        <f t="shared" si="64"/>
        <v>1.25</v>
      </c>
      <c r="K153" s="14">
        <f t="shared" si="45"/>
        <v>2685.1100000000001</v>
      </c>
      <c r="L153" s="14">
        <f t="shared" si="46"/>
        <v>5120.4599999999991</v>
      </c>
      <c r="M153" s="14">
        <f t="shared" si="65"/>
        <v>7805.5699999999997</v>
      </c>
      <c r="N153" s="15">
        <f t="shared" si="47"/>
        <v>3.3618341785715362e-003</v>
      </c>
    </row>
    <row r="154" ht="24" customHeight="1">
      <c r="A154" s="16" t="s">
        <v>262</v>
      </c>
      <c r="B154" s="17" t="s">
        <v>54</v>
      </c>
      <c r="C154" s="16" t="s">
        <v>27</v>
      </c>
      <c r="D154" s="16" t="s">
        <v>55</v>
      </c>
      <c r="E154" s="18" t="s">
        <v>56</v>
      </c>
      <c r="F154" s="17">
        <v>2810.0100000000002</v>
      </c>
      <c r="G154" s="19">
        <v>3.2200000000000002</v>
      </c>
      <c r="H154" s="19">
        <v>0</v>
      </c>
      <c r="I154" s="19">
        <v>3.7000000000000002</v>
      </c>
      <c r="J154" s="19" t="str">
        <f t="shared" ref="J154:J156" si="66">TRUNC(G154 * (1 + 15.0 / 100), 2) &amp;CHAR(10)&amp; "(15.0%)"</f>
        <v xml:space="preserve">3.7
(15.0%)</v>
      </c>
      <c r="K154" s="19">
        <f t="shared" si="45"/>
        <v>0</v>
      </c>
      <c r="L154" s="19">
        <f t="shared" si="46"/>
        <v>10397.030000000001</v>
      </c>
      <c r="M154" s="19">
        <f t="shared" ref="M154:M156" si="67">TRUNC(F154 * TRUNC(G154 * (1 + 15.0 / 100), 2), 2)</f>
        <v>10397.030000000001</v>
      </c>
      <c r="N154" s="20">
        <f t="shared" si="47"/>
        <v>4.4779677601550711e-003</v>
      </c>
    </row>
    <row r="155" ht="39" customHeight="1">
      <c r="A155" s="11" t="s">
        <v>263</v>
      </c>
      <c r="B155" s="12" t="s">
        <v>58</v>
      </c>
      <c r="C155" s="11" t="s">
        <v>36</v>
      </c>
      <c r="D155" s="11" t="s">
        <v>59</v>
      </c>
      <c r="E155" s="13" t="s">
        <v>60</v>
      </c>
      <c r="F155" s="12">
        <v>84.299999999999997</v>
      </c>
      <c r="G155" s="14">
        <v>1.3799999999999999</v>
      </c>
      <c r="H155" s="14">
        <v>0.11</v>
      </c>
      <c r="I155" s="14">
        <v>1.47</v>
      </c>
      <c r="J155" s="14" t="str">
        <f t="shared" si="66"/>
        <v xml:space="preserve">1.58
(15.0%)</v>
      </c>
      <c r="K155" s="14">
        <f t="shared" si="45"/>
        <v>9.2699999999999996</v>
      </c>
      <c r="L155" s="14">
        <f t="shared" si="46"/>
        <v>123.92</v>
      </c>
      <c r="M155" s="14">
        <f t="shared" si="67"/>
        <v>133.19</v>
      </c>
      <c r="N155" s="15">
        <f t="shared" si="47"/>
        <v>5.7364509477711797e-005</v>
      </c>
    </row>
    <row r="156" ht="52" customHeight="1">
      <c r="A156" s="11" t="s">
        <v>264</v>
      </c>
      <c r="B156" s="12" t="s">
        <v>62</v>
      </c>
      <c r="C156" s="11" t="s">
        <v>36</v>
      </c>
      <c r="D156" s="11" t="s">
        <v>63</v>
      </c>
      <c r="E156" s="13" t="s">
        <v>60</v>
      </c>
      <c r="F156" s="12">
        <v>463.64999999999998</v>
      </c>
      <c r="G156" s="14">
        <v>0.54000000000000004</v>
      </c>
      <c r="H156" s="14">
        <v>2.9999999999999999e-002</v>
      </c>
      <c r="I156" s="14">
        <v>0.58999999999999997</v>
      </c>
      <c r="J156" s="14" t="str">
        <f t="shared" si="66"/>
        <v xml:space="preserve">0.62
(15.0%)</v>
      </c>
      <c r="K156" s="14">
        <f t="shared" si="45"/>
        <v>13.9</v>
      </c>
      <c r="L156" s="14">
        <f t="shared" si="46"/>
        <v>273.56</v>
      </c>
      <c r="M156" s="14">
        <f t="shared" si="67"/>
        <v>287.45999999999998</v>
      </c>
      <c r="N156" s="15">
        <f t="shared" si="47"/>
        <v>1.2380810792449157e-004</v>
      </c>
    </row>
    <row r="157" ht="26" customHeight="1">
      <c r="A157" s="11" t="s">
        <v>265</v>
      </c>
      <c r="B157" s="12" t="s">
        <v>65</v>
      </c>
      <c r="C157" s="11" t="s">
        <v>66</v>
      </c>
      <c r="D157" s="11" t="s">
        <v>67</v>
      </c>
      <c r="E157" s="13" t="s">
        <v>68</v>
      </c>
      <c r="F157" s="12">
        <v>599.47000000000003</v>
      </c>
      <c r="G157" s="14">
        <v>186.06999999999999</v>
      </c>
      <c r="H157" s="14">
        <v>3</v>
      </c>
      <c r="I157" s="14">
        <v>220.88999999999999</v>
      </c>
      <c r="J157" s="14">
        <f>TRUNC(G157 * (1 + 20.33 / 100), 2)</f>
        <v>223.88999999999999</v>
      </c>
      <c r="K157" s="14">
        <f t="shared" si="45"/>
        <v>1798.4100000000001</v>
      </c>
      <c r="L157" s="14">
        <f t="shared" si="46"/>
        <v>132416.91999999998</v>
      </c>
      <c r="M157" s="14">
        <f>TRUNC(F157 * j157, 2)</f>
        <v>134215.32999999999</v>
      </c>
      <c r="N157" s="15">
        <f t="shared" si="47"/>
        <v>5.7806115848331077e-002</v>
      </c>
    </row>
    <row r="158" ht="26" customHeight="1">
      <c r="A158" s="16" t="s">
        <v>266</v>
      </c>
      <c r="B158" s="17" t="s">
        <v>70</v>
      </c>
      <c r="C158" s="16" t="s">
        <v>27</v>
      </c>
      <c r="D158" s="16" t="s">
        <v>71</v>
      </c>
      <c r="E158" s="18" t="s">
        <v>68</v>
      </c>
      <c r="F158" s="17">
        <v>34.469999999999999</v>
      </c>
      <c r="G158" s="19">
        <v>3771.0900000000001</v>
      </c>
      <c r="H158" s="19">
        <v>0</v>
      </c>
      <c r="I158" s="19">
        <v>4336.75</v>
      </c>
      <c r="J158" s="19" t="str">
        <f>TRUNC(G158 * (1 + 15.0 / 100), 2) &amp;CHAR(10)&amp; "(15.0%)"</f>
        <v xml:space="preserve">4336.75
(15.0%)</v>
      </c>
      <c r="K158" s="19">
        <f t="shared" si="45"/>
        <v>0</v>
      </c>
      <c r="L158" s="19">
        <f t="shared" si="46"/>
        <v>149487.76999999999</v>
      </c>
      <c r="M158" s="19">
        <f>TRUNC(F158 * TRUNC(G158 * (1 + 15.0 / 100), 2), 2)</f>
        <v>149487.76999999999</v>
      </c>
      <c r="N158" s="20">
        <f t="shared" si="47"/>
        <v>6.4383907192484435e-002</v>
      </c>
    </row>
    <row r="159" ht="39" customHeight="1">
      <c r="A159" s="11" t="s">
        <v>267</v>
      </c>
      <c r="B159" s="12" t="s">
        <v>73</v>
      </c>
      <c r="C159" s="11" t="s">
        <v>36</v>
      </c>
      <c r="D159" s="11" t="s">
        <v>74</v>
      </c>
      <c r="E159" s="13" t="s">
        <v>60</v>
      </c>
      <c r="F159" s="12">
        <v>10910.35</v>
      </c>
      <c r="G159" s="14">
        <v>1.6100000000000001</v>
      </c>
      <c r="H159" s="14">
        <v>0.19</v>
      </c>
      <c r="I159" s="14">
        <v>1.74</v>
      </c>
      <c r="J159" s="14">
        <f>TRUNC(G159 * (1 + 20.33 / 100), 2)</f>
        <v>1.9299999999999999</v>
      </c>
      <c r="K159" s="14">
        <f t="shared" si="45"/>
        <v>2072.96</v>
      </c>
      <c r="L159" s="14">
        <f t="shared" si="46"/>
        <v>18984.010000000002</v>
      </c>
      <c r="M159" s="14">
        <f>TRUNC(F159 * j159, 2)</f>
        <v>21056.970000000001</v>
      </c>
      <c r="N159" s="15">
        <f t="shared" si="47"/>
        <v>9.0691700212995954e-003</v>
      </c>
    </row>
    <row r="160" ht="39" customHeight="1">
      <c r="A160" s="11" t="s">
        <v>268</v>
      </c>
      <c r="B160" s="12" t="s">
        <v>58</v>
      </c>
      <c r="C160" s="11" t="s">
        <v>36</v>
      </c>
      <c r="D160" s="11" t="s">
        <v>59</v>
      </c>
      <c r="E160" s="13" t="s">
        <v>60</v>
      </c>
      <c r="F160" s="12">
        <v>1034.0999999999999</v>
      </c>
      <c r="G160" s="14">
        <v>1.3799999999999999</v>
      </c>
      <c r="H160" s="14">
        <v>0.11</v>
      </c>
      <c r="I160" s="14">
        <v>1.47</v>
      </c>
      <c r="J160" s="14" t="str">
        <f t="shared" ref="J160:J161" si="68">TRUNC(G160 * (1 + 15.0 / 100), 2) &amp;CHAR(10)&amp; "(15.0%)"</f>
        <v xml:space="preserve">1.58
(15.0%)</v>
      </c>
      <c r="K160" s="14">
        <f t="shared" si="45"/>
        <v>113.75</v>
      </c>
      <c r="L160" s="14">
        <f t="shared" si="46"/>
        <v>1520.1199999999999</v>
      </c>
      <c r="M160" s="14">
        <f t="shared" ref="M160:M161" si="69">TRUNC(F160 * TRUNC(G160 * (1 + 15.0 / 100), 2), 2)</f>
        <v>1633.8699999999999</v>
      </c>
      <c r="N160" s="15">
        <f t="shared" si="47"/>
        <v>7.0370261356219666e-004</v>
      </c>
    </row>
    <row r="161" ht="52" customHeight="1">
      <c r="A161" s="11" t="s">
        <v>269</v>
      </c>
      <c r="B161" s="12" t="s">
        <v>62</v>
      </c>
      <c r="C161" s="11" t="s">
        <v>36</v>
      </c>
      <c r="D161" s="11" t="s">
        <v>63</v>
      </c>
      <c r="E161" s="13" t="s">
        <v>60</v>
      </c>
      <c r="F161" s="12">
        <v>12753.9</v>
      </c>
      <c r="G161" s="14">
        <v>0.54000000000000004</v>
      </c>
      <c r="H161" s="14">
        <v>2.9999999999999999e-002</v>
      </c>
      <c r="I161" s="14">
        <v>0.58999999999999997</v>
      </c>
      <c r="J161" s="14" t="str">
        <f t="shared" si="68"/>
        <v xml:space="preserve">0.62
(15.0%)</v>
      </c>
      <c r="K161" s="14">
        <f t="shared" si="45"/>
        <v>382.61000000000001</v>
      </c>
      <c r="L161" s="14">
        <f t="shared" si="46"/>
        <v>7524.8000000000002</v>
      </c>
      <c r="M161" s="14">
        <f t="shared" si="69"/>
        <v>7907.4099999999999</v>
      </c>
      <c r="N161" s="15">
        <f t="shared" si="47"/>
        <v>3.4056963427370902e-003</v>
      </c>
    </row>
    <row r="162" ht="39" customHeight="1">
      <c r="A162" s="11" t="s">
        <v>270</v>
      </c>
      <c r="B162" s="12" t="s">
        <v>51</v>
      </c>
      <c r="C162" s="11" t="s">
        <v>27</v>
      </c>
      <c r="D162" s="11" t="s">
        <v>52</v>
      </c>
      <c r="E162" s="13" t="s">
        <v>33</v>
      </c>
      <c r="F162" s="12">
        <v>4375</v>
      </c>
      <c r="G162" s="14">
        <v>1.04</v>
      </c>
      <c r="H162" s="14">
        <v>0.42999999999999999</v>
      </c>
      <c r="I162" s="14">
        <v>0.81999999999999995</v>
      </c>
      <c r="J162" s="14">
        <f>TRUNC(G162 * (1 + 20.33 / 100), 2)</f>
        <v>1.25</v>
      </c>
      <c r="K162" s="14">
        <f t="shared" si="45"/>
        <v>1881.25</v>
      </c>
      <c r="L162" s="14">
        <f t="shared" si="46"/>
        <v>3587.5</v>
      </c>
      <c r="M162" s="14">
        <f>TRUNC(F162 * j162, 2)</f>
        <v>5468.75</v>
      </c>
      <c r="N162" s="15">
        <f t="shared" si="47"/>
        <v>2.3553732352746934e-003</v>
      </c>
    </row>
    <row r="163" ht="24" customHeight="1">
      <c r="A163" s="16" t="s">
        <v>271</v>
      </c>
      <c r="B163" s="17" t="s">
        <v>54</v>
      </c>
      <c r="C163" s="16" t="s">
        <v>27</v>
      </c>
      <c r="D163" s="16" t="s">
        <v>55</v>
      </c>
      <c r="E163" s="18" t="s">
        <v>56</v>
      </c>
      <c r="F163" s="17">
        <v>1968.75</v>
      </c>
      <c r="G163" s="19">
        <v>3.2200000000000002</v>
      </c>
      <c r="H163" s="19">
        <v>0</v>
      </c>
      <c r="I163" s="19">
        <v>3.7000000000000002</v>
      </c>
      <c r="J163" s="19" t="str">
        <f t="shared" ref="J163:J165" si="70">TRUNC(G163 * (1 + 15.0 / 100), 2) &amp;CHAR(10)&amp; "(15.0%)"</f>
        <v xml:space="preserve">3.7
(15.0%)</v>
      </c>
      <c r="K163" s="19">
        <f t="shared" si="45"/>
        <v>0</v>
      </c>
      <c r="L163" s="19">
        <f t="shared" si="46"/>
        <v>7284.3699999999999</v>
      </c>
      <c r="M163" s="19">
        <f t="shared" ref="M163:M165" si="71">TRUNC(F163 * TRUNC(G163 * (1 + 15.0 / 100), 2), 2)</f>
        <v>7284.3699999999999</v>
      </c>
      <c r="N163" s="20">
        <f t="shared" si="47"/>
        <v>3.1373549959017905e-003</v>
      </c>
    </row>
    <row r="164" ht="39" customHeight="1">
      <c r="A164" s="11" t="s">
        <v>272</v>
      </c>
      <c r="B164" s="12" t="s">
        <v>58</v>
      </c>
      <c r="C164" s="11" t="s">
        <v>36</v>
      </c>
      <c r="D164" s="11" t="s">
        <v>59</v>
      </c>
      <c r="E164" s="13" t="s">
        <v>60</v>
      </c>
      <c r="F164" s="12">
        <v>59.060000000000002</v>
      </c>
      <c r="G164" s="14">
        <v>1.3799999999999999</v>
      </c>
      <c r="H164" s="14">
        <v>0.11</v>
      </c>
      <c r="I164" s="14">
        <v>1.47</v>
      </c>
      <c r="J164" s="14" t="str">
        <f t="shared" si="70"/>
        <v xml:space="preserve">1.58
(15.0%)</v>
      </c>
      <c r="K164" s="14">
        <f t="shared" ref="K164:K227" si="72">TRUNC(F164*H164,2)</f>
        <v>6.4900000000000002</v>
      </c>
      <c r="L164" s="14">
        <f t="shared" ref="L164:L227" si="73">M164-K164</f>
        <v>86.820000000000007</v>
      </c>
      <c r="M164" s="14">
        <f t="shared" si="71"/>
        <v>93.310000000000002</v>
      </c>
      <c r="N164" s="15">
        <f t="shared" ref="N164:N227" si="74">M164/2321818.86</f>
        <v>4.0188320289550926e-005</v>
      </c>
    </row>
    <row r="165" ht="52" customHeight="1">
      <c r="A165" s="11" t="s">
        <v>273</v>
      </c>
      <c r="B165" s="12" t="s">
        <v>62</v>
      </c>
      <c r="C165" s="11" t="s">
        <v>36</v>
      </c>
      <c r="D165" s="11" t="s">
        <v>63</v>
      </c>
      <c r="E165" s="13" t="s">
        <v>60</v>
      </c>
      <c r="F165" s="12">
        <v>324.83999999999997</v>
      </c>
      <c r="G165" s="14">
        <v>0.54000000000000004</v>
      </c>
      <c r="H165" s="14">
        <v>2.9999999999999999e-002</v>
      </c>
      <c r="I165" s="14">
        <v>0.58999999999999997</v>
      </c>
      <c r="J165" s="14" t="str">
        <f t="shared" si="70"/>
        <v xml:space="preserve">0.62
(15.0%)</v>
      </c>
      <c r="K165" s="14">
        <f t="shared" si="72"/>
        <v>9.7400000000000002</v>
      </c>
      <c r="L165" s="14">
        <f t="shared" si="73"/>
        <v>191.66</v>
      </c>
      <c r="M165" s="14">
        <f t="shared" si="71"/>
        <v>201.40000000000001</v>
      </c>
      <c r="N165" s="15">
        <f t="shared" si="74"/>
        <v>8.6742339581133399e-005</v>
      </c>
    </row>
    <row r="166" ht="26" customHeight="1">
      <c r="A166" s="11" t="s">
        <v>274</v>
      </c>
      <c r="B166" s="12" t="s">
        <v>65</v>
      </c>
      <c r="C166" s="11" t="s">
        <v>66</v>
      </c>
      <c r="D166" s="11" t="s">
        <v>67</v>
      </c>
      <c r="E166" s="13" t="s">
        <v>68</v>
      </c>
      <c r="F166" s="12">
        <v>334.69</v>
      </c>
      <c r="G166" s="14">
        <v>186.06999999999999</v>
      </c>
      <c r="H166" s="14">
        <v>3</v>
      </c>
      <c r="I166" s="14">
        <v>220.88999999999999</v>
      </c>
      <c r="J166" s="14">
        <f>TRUNC(G166 * (1 + 20.33 / 100), 2)</f>
        <v>223.88999999999999</v>
      </c>
      <c r="K166" s="14">
        <f t="shared" si="72"/>
        <v>1004.0700000000001</v>
      </c>
      <c r="L166" s="14">
        <f t="shared" si="73"/>
        <v>73929.669999999998</v>
      </c>
      <c r="M166" s="14">
        <f>TRUNC(F166 * j166, 2)</f>
        <v>74933.740000000005</v>
      </c>
      <c r="N166" s="15">
        <f t="shared" si="74"/>
        <v>3.2273723541034555e-002</v>
      </c>
    </row>
    <row r="167" ht="26" customHeight="1">
      <c r="A167" s="16" t="s">
        <v>275</v>
      </c>
      <c r="B167" s="17" t="s">
        <v>70</v>
      </c>
      <c r="C167" s="16" t="s">
        <v>27</v>
      </c>
      <c r="D167" s="16" t="s">
        <v>71</v>
      </c>
      <c r="E167" s="18" t="s">
        <v>68</v>
      </c>
      <c r="F167" s="17">
        <v>18.41</v>
      </c>
      <c r="G167" s="19">
        <v>3771.0900000000001</v>
      </c>
      <c r="H167" s="19">
        <v>0</v>
      </c>
      <c r="I167" s="19">
        <v>4336.75</v>
      </c>
      <c r="J167" s="19" t="str">
        <f>TRUNC(G167 * (1 + 15.0 / 100), 2) &amp;CHAR(10)&amp; "(15.0%)"</f>
        <v xml:space="preserve">4336.75
(15.0%)</v>
      </c>
      <c r="K167" s="19">
        <f t="shared" si="72"/>
        <v>0</v>
      </c>
      <c r="L167" s="19">
        <f t="shared" si="73"/>
        <v>79839.559999999998</v>
      </c>
      <c r="M167" s="19">
        <f>TRUNC(F167 * TRUNC(G167 * (1 + 15.0 / 100), 2), 2)</f>
        <v>79839.559999999998</v>
      </c>
      <c r="N167" s="20">
        <f t="shared" si="74"/>
        <v>3.4386644615334035e-002</v>
      </c>
    </row>
    <row r="168" ht="39" customHeight="1">
      <c r="A168" s="11" t="s">
        <v>276</v>
      </c>
      <c r="B168" s="12" t="s">
        <v>73</v>
      </c>
      <c r="C168" s="11" t="s">
        <v>36</v>
      </c>
      <c r="D168" s="11" t="s">
        <v>74</v>
      </c>
      <c r="E168" s="13" t="s">
        <v>60</v>
      </c>
      <c r="F168" s="12">
        <v>6091.3599999999997</v>
      </c>
      <c r="G168" s="14">
        <v>1.6100000000000001</v>
      </c>
      <c r="H168" s="14">
        <v>0.19</v>
      </c>
      <c r="I168" s="14">
        <v>1.74</v>
      </c>
      <c r="J168" s="14">
        <f>TRUNC(G168 * (1 + 20.33 / 100), 2)</f>
        <v>1.9299999999999999</v>
      </c>
      <c r="K168" s="14">
        <f t="shared" si="72"/>
        <v>1157.3499999999999</v>
      </c>
      <c r="L168" s="14">
        <f t="shared" si="73"/>
        <v>10598.969999999999</v>
      </c>
      <c r="M168" s="14">
        <f>TRUNC(F168 * j168, 2)</f>
        <v>11756.32</v>
      </c>
      <c r="N168" s="15">
        <f t="shared" si="74"/>
        <v>5.0634096408364955e-003</v>
      </c>
    </row>
    <row r="169" ht="39" customHeight="1">
      <c r="A169" s="11" t="s">
        <v>277</v>
      </c>
      <c r="B169" s="12" t="s">
        <v>58</v>
      </c>
      <c r="C169" s="11" t="s">
        <v>36</v>
      </c>
      <c r="D169" s="11" t="s">
        <v>59</v>
      </c>
      <c r="E169" s="13" t="s">
        <v>60</v>
      </c>
      <c r="F169" s="12">
        <v>552.29999999999995</v>
      </c>
      <c r="G169" s="14">
        <v>1.3799999999999999</v>
      </c>
      <c r="H169" s="14">
        <v>0.11</v>
      </c>
      <c r="I169" s="14">
        <v>1.47</v>
      </c>
      <c r="J169" s="14" t="str">
        <f t="shared" ref="J169:J170" si="75">TRUNC(G169 * (1 + 15.0 / 100), 2) &amp;CHAR(10)&amp; "(15.0%)"</f>
        <v xml:space="preserve">1.58
(15.0%)</v>
      </c>
      <c r="K169" s="14">
        <f t="shared" si="72"/>
        <v>60.75</v>
      </c>
      <c r="L169" s="14">
        <f t="shared" si="73"/>
        <v>811.88</v>
      </c>
      <c r="M169" s="14">
        <f t="shared" ref="M169:M170" si="76">TRUNC(F169 * TRUNC(G169 * (1 + 15.0 / 100), 2), 2)</f>
        <v>872.63</v>
      </c>
      <c r="N169" s="15">
        <f t="shared" si="74"/>
        <v>3.7583896618016103e-004</v>
      </c>
    </row>
    <row r="170" ht="52" customHeight="1">
      <c r="A170" s="11" t="s">
        <v>278</v>
      </c>
      <c r="B170" s="12" t="s">
        <v>62</v>
      </c>
      <c r="C170" s="11" t="s">
        <v>36</v>
      </c>
      <c r="D170" s="11" t="s">
        <v>63</v>
      </c>
      <c r="E170" s="13" t="s">
        <v>60</v>
      </c>
      <c r="F170" s="12">
        <v>6811.6999999999998</v>
      </c>
      <c r="G170" s="14">
        <v>0.54000000000000004</v>
      </c>
      <c r="H170" s="14">
        <v>2.9999999999999999e-002</v>
      </c>
      <c r="I170" s="14">
        <v>0.58999999999999997</v>
      </c>
      <c r="J170" s="14" t="str">
        <f t="shared" si="75"/>
        <v xml:space="preserve">0.62
(15.0%)</v>
      </c>
      <c r="K170" s="14">
        <f t="shared" si="72"/>
        <v>204.34999999999999</v>
      </c>
      <c r="L170" s="14">
        <f t="shared" si="73"/>
        <v>4018.9000000000001</v>
      </c>
      <c r="M170" s="14">
        <f t="shared" si="76"/>
        <v>4223.25</v>
      </c>
      <c r="N170" s="15">
        <f t="shared" si="74"/>
        <v>1.8189403457597895e-003</v>
      </c>
    </row>
    <row r="171" ht="24" customHeight="1">
      <c r="A171" s="7" t="s">
        <v>279</v>
      </c>
      <c r="B171" s="7"/>
      <c r="C171" s="7"/>
      <c r="D171" s="7" t="s">
        <v>87</v>
      </c>
      <c r="E171" s="7"/>
      <c r="F171" s="8"/>
      <c r="G171" s="7"/>
      <c r="H171" s="7"/>
      <c r="I171" s="7"/>
      <c r="J171" s="7"/>
      <c r="K171" s="7"/>
      <c r="L171" s="7"/>
      <c r="M171" s="9">
        <v>25815.740000000002</v>
      </c>
      <c r="N171" s="10">
        <f t="shared" si="74"/>
        <v>1.1118757128193886e-002</v>
      </c>
    </row>
    <row r="172" ht="26" customHeight="1">
      <c r="A172" s="11" t="s">
        <v>280</v>
      </c>
      <c r="B172" s="12" t="s">
        <v>89</v>
      </c>
      <c r="C172" s="11" t="s">
        <v>27</v>
      </c>
      <c r="D172" s="11" t="s">
        <v>90</v>
      </c>
      <c r="E172" s="13" t="s">
        <v>38</v>
      </c>
      <c r="F172" s="12">
        <v>1250</v>
      </c>
      <c r="G172" s="14">
        <v>2.6699999999999999</v>
      </c>
      <c r="H172" s="14">
        <v>1.24</v>
      </c>
      <c r="I172" s="14">
        <v>1.97</v>
      </c>
      <c r="J172" s="14">
        <f t="shared" ref="J172:J184" si="77">TRUNC(G172 * (1 + 20.33 / 100), 2)</f>
        <v>3.21</v>
      </c>
      <c r="K172" s="14">
        <f t="shared" si="72"/>
        <v>1550</v>
      </c>
      <c r="L172" s="14">
        <f t="shared" si="73"/>
        <v>2462.5</v>
      </c>
      <c r="M172" s="14">
        <f t="shared" ref="M172:M184" si="78">TRUNC(F172 * j172, 2)</f>
        <v>4012.5</v>
      </c>
      <c r="N172" s="15">
        <f t="shared" si="74"/>
        <v>1.7281709909101179e-003</v>
      </c>
    </row>
    <row r="173" ht="52" customHeight="1">
      <c r="A173" s="11" t="s">
        <v>281</v>
      </c>
      <c r="B173" s="12" t="s">
        <v>92</v>
      </c>
      <c r="C173" s="11" t="s">
        <v>36</v>
      </c>
      <c r="D173" s="11" t="s">
        <v>93</v>
      </c>
      <c r="E173" s="13" t="s">
        <v>38</v>
      </c>
      <c r="F173" s="12">
        <v>625</v>
      </c>
      <c r="G173" s="14">
        <v>5.5099999999999998</v>
      </c>
      <c r="H173" s="14">
        <v>2.27</v>
      </c>
      <c r="I173" s="14">
        <v>4.3600000000000003</v>
      </c>
      <c r="J173" s="14">
        <f t="shared" si="77"/>
        <v>6.6299999999999999</v>
      </c>
      <c r="K173" s="14">
        <f t="shared" si="72"/>
        <v>1418.75</v>
      </c>
      <c r="L173" s="14">
        <f t="shared" si="73"/>
        <v>2725</v>
      </c>
      <c r="M173" s="14">
        <f t="shared" si="78"/>
        <v>4143.75</v>
      </c>
      <c r="N173" s="15">
        <f t="shared" si="74"/>
        <v>1.7846999485567104e-003</v>
      </c>
    </row>
    <row r="174" ht="52" customHeight="1">
      <c r="A174" s="11" t="s">
        <v>282</v>
      </c>
      <c r="B174" s="12" t="s">
        <v>95</v>
      </c>
      <c r="C174" s="11" t="s">
        <v>36</v>
      </c>
      <c r="D174" s="11" t="s">
        <v>96</v>
      </c>
      <c r="E174" s="13" t="s">
        <v>33</v>
      </c>
      <c r="F174" s="12">
        <v>305.69999999999999</v>
      </c>
      <c r="G174" s="14">
        <v>23.170000000000002</v>
      </c>
      <c r="H174" s="14">
        <v>12.210000000000001</v>
      </c>
      <c r="I174" s="14">
        <v>15.67</v>
      </c>
      <c r="J174" s="14">
        <f t="shared" si="77"/>
        <v>27.879999999999999</v>
      </c>
      <c r="K174" s="14">
        <f t="shared" si="72"/>
        <v>3732.5900000000001</v>
      </c>
      <c r="L174" s="14">
        <f t="shared" si="73"/>
        <v>4790.3199999999997</v>
      </c>
      <c r="M174" s="14">
        <f t="shared" si="78"/>
        <v>8522.9099999999999</v>
      </c>
      <c r="N174" s="15">
        <f t="shared" si="74"/>
        <v>3.6707902355483497e-003</v>
      </c>
    </row>
    <row r="175" ht="65" customHeight="1">
      <c r="A175" s="11" t="s">
        <v>283</v>
      </c>
      <c r="B175" s="12" t="s">
        <v>284</v>
      </c>
      <c r="C175" s="11" t="s">
        <v>27</v>
      </c>
      <c r="D175" s="11" t="s">
        <v>285</v>
      </c>
      <c r="E175" s="13" t="s">
        <v>100</v>
      </c>
      <c r="F175" s="12">
        <v>11</v>
      </c>
      <c r="G175" s="14">
        <v>468.25</v>
      </c>
      <c r="H175" s="14">
        <v>16.079999999999998</v>
      </c>
      <c r="I175" s="14">
        <v>547.36000000000001</v>
      </c>
      <c r="J175" s="14">
        <f t="shared" si="77"/>
        <v>563.44000000000005</v>
      </c>
      <c r="K175" s="14">
        <f t="shared" si="72"/>
        <v>176.88</v>
      </c>
      <c r="L175" s="14">
        <f t="shared" si="73"/>
        <v>6020.96</v>
      </c>
      <c r="M175" s="14">
        <f t="shared" si="78"/>
        <v>6197.8400000000001</v>
      </c>
      <c r="N175" s="15">
        <f t="shared" si="74"/>
        <v>2.6693899798884398e-003</v>
      </c>
    </row>
    <row r="176" ht="52" customHeight="1">
      <c r="A176" s="11" t="s">
        <v>286</v>
      </c>
      <c r="B176" s="12" t="s">
        <v>98</v>
      </c>
      <c r="C176" s="11" t="s">
        <v>27</v>
      </c>
      <c r="D176" s="11" t="s">
        <v>99</v>
      </c>
      <c r="E176" s="13" t="s">
        <v>100</v>
      </c>
      <c r="F176" s="12">
        <v>6</v>
      </c>
      <c r="G176" s="14">
        <v>407.04000000000002</v>
      </c>
      <c r="H176" s="14">
        <v>16.079999999999998</v>
      </c>
      <c r="I176" s="14">
        <v>473.70999999999998</v>
      </c>
      <c r="J176" s="14">
        <f t="shared" si="77"/>
        <v>489.79000000000002</v>
      </c>
      <c r="K176" s="14">
        <f t="shared" si="72"/>
        <v>96.469999999999999</v>
      </c>
      <c r="L176" s="14">
        <f t="shared" si="73"/>
        <v>2842.27</v>
      </c>
      <c r="M176" s="14">
        <f t="shared" si="78"/>
        <v>2938.7399999999998</v>
      </c>
      <c r="N176" s="15">
        <f t="shared" si="74"/>
        <v>1.2657059732902678e-003</v>
      </c>
    </row>
    <row r="177" ht="39" customHeight="1">
      <c r="A177" s="7" t="s">
        <v>287</v>
      </c>
      <c r="B177" s="7"/>
      <c r="C177" s="7"/>
      <c r="D177" s="7" t="s">
        <v>288</v>
      </c>
      <c r="E177" s="7"/>
      <c r="F177" s="8"/>
      <c r="G177" s="7"/>
      <c r="H177" s="7"/>
      <c r="I177" s="7"/>
      <c r="J177" s="7"/>
      <c r="K177" s="7"/>
      <c r="L177" s="7"/>
      <c r="M177" s="9">
        <v>518951.79999999999</v>
      </c>
      <c r="N177" s="10">
        <f t="shared" si="74"/>
        <v>0.22351089007865155</v>
      </c>
    </row>
    <row r="178" ht="24" customHeight="1">
      <c r="A178" s="7" t="s">
        <v>289</v>
      </c>
      <c r="B178" s="7"/>
      <c r="C178" s="7"/>
      <c r="D178" s="7" t="s">
        <v>24</v>
      </c>
      <c r="E178" s="7"/>
      <c r="F178" s="8"/>
      <c r="G178" s="7"/>
      <c r="H178" s="7"/>
      <c r="I178" s="7"/>
      <c r="J178" s="7"/>
      <c r="K178" s="7"/>
      <c r="L178" s="7"/>
      <c r="M178" s="9">
        <v>12673.559999999999</v>
      </c>
      <c r="N178" s="10">
        <f t="shared" si="74"/>
        <v>5.4584619921641949e-003</v>
      </c>
    </row>
    <row r="179" ht="24" customHeight="1">
      <c r="A179" s="11" t="s">
        <v>290</v>
      </c>
      <c r="B179" s="12" t="s">
        <v>35</v>
      </c>
      <c r="C179" s="11" t="s">
        <v>36</v>
      </c>
      <c r="D179" s="11" t="s">
        <v>37</v>
      </c>
      <c r="E179" s="13" t="s">
        <v>38</v>
      </c>
      <c r="F179" s="12">
        <v>407.19999999999999</v>
      </c>
      <c r="G179" s="14">
        <v>0.64000000000000001</v>
      </c>
      <c r="H179" s="14">
        <v>0.66000000000000003</v>
      </c>
      <c r="I179" s="14">
        <v>0.11</v>
      </c>
      <c r="J179" s="14">
        <f t="shared" si="77"/>
        <v>0.77000000000000002</v>
      </c>
      <c r="K179" s="14">
        <f t="shared" si="72"/>
        <v>268.75</v>
      </c>
      <c r="L179" s="14">
        <f t="shared" si="73"/>
        <v>44.79000000000002</v>
      </c>
      <c r="M179" s="14">
        <f t="shared" si="78"/>
        <v>313.54000000000002</v>
      </c>
      <c r="N179" s="15">
        <f t="shared" si="74"/>
        <v>1.3504068099438215e-004</v>
      </c>
    </row>
    <row r="180" ht="24" customHeight="1">
      <c r="A180" s="11" t="s">
        <v>291</v>
      </c>
      <c r="B180" s="12" t="s">
        <v>31</v>
      </c>
      <c r="C180" s="11" t="s">
        <v>27</v>
      </c>
      <c r="D180" s="11" t="s">
        <v>32</v>
      </c>
      <c r="E180" s="13" t="s">
        <v>33</v>
      </c>
      <c r="F180" s="12">
        <v>5496.8900000000003</v>
      </c>
      <c r="G180" s="14">
        <v>1.4099999999999999</v>
      </c>
      <c r="H180" s="14">
        <v>1.6299999999999999</v>
      </c>
      <c r="I180" s="14">
        <v>5.9999999999999998e-002</v>
      </c>
      <c r="J180" s="14">
        <f t="shared" si="77"/>
        <v>1.6899999999999999</v>
      </c>
      <c r="K180" s="14">
        <f t="shared" si="72"/>
        <v>8959.9300000000003</v>
      </c>
      <c r="L180" s="14">
        <f t="shared" si="73"/>
        <v>329.80999999999949</v>
      </c>
      <c r="M180" s="14">
        <f t="shared" si="78"/>
        <v>9289.7399999999998</v>
      </c>
      <c r="N180" s="15">
        <f t="shared" si="74"/>
        <v>4.0010614781551051e-003</v>
      </c>
    </row>
    <row r="181" ht="26" customHeight="1">
      <c r="A181" s="11" t="s">
        <v>292</v>
      </c>
      <c r="B181" s="12" t="s">
        <v>40</v>
      </c>
      <c r="C181" s="11" t="s">
        <v>36</v>
      </c>
      <c r="D181" s="11" t="s">
        <v>41</v>
      </c>
      <c r="E181" s="13" t="s">
        <v>33</v>
      </c>
      <c r="F181" s="12">
        <v>814.39999999999998</v>
      </c>
      <c r="G181" s="14">
        <v>3.1400000000000001</v>
      </c>
      <c r="H181" s="14">
        <v>2.8500000000000001</v>
      </c>
      <c r="I181" s="14">
        <v>0.92000000000000004</v>
      </c>
      <c r="J181" s="14">
        <f t="shared" si="77"/>
        <v>3.77</v>
      </c>
      <c r="K181" s="14">
        <f t="shared" si="72"/>
        <v>2321.04</v>
      </c>
      <c r="L181" s="14">
        <f t="shared" si="73"/>
        <v>749.24000000000024</v>
      </c>
      <c r="M181" s="14">
        <f t="shared" si="78"/>
        <v>3070.2800000000002</v>
      </c>
      <c r="N181" s="15">
        <f t="shared" si="74"/>
        <v>1.3223598330147084e-003</v>
      </c>
    </row>
    <row r="182" ht="24" customHeight="1">
      <c r="A182" s="7" t="s">
        <v>293</v>
      </c>
      <c r="B182" s="7"/>
      <c r="C182" s="7"/>
      <c r="D182" s="7" t="s">
        <v>108</v>
      </c>
      <c r="E182" s="7"/>
      <c r="F182" s="8"/>
      <c r="G182" s="7"/>
      <c r="H182" s="7"/>
      <c r="I182" s="7"/>
      <c r="J182" s="7"/>
      <c r="K182" s="7"/>
      <c r="L182" s="7"/>
      <c r="M182" s="9">
        <v>45351.93</v>
      </c>
      <c r="N182" s="10">
        <f t="shared" si="74"/>
        <v>1.953293203932369e-002</v>
      </c>
    </row>
    <row r="183" ht="65" customHeight="1">
      <c r="A183" s="11" t="s">
        <v>294</v>
      </c>
      <c r="B183" s="12" t="s">
        <v>110</v>
      </c>
      <c r="C183" s="11" t="s">
        <v>36</v>
      </c>
      <c r="D183" s="11" t="s">
        <v>111</v>
      </c>
      <c r="E183" s="13" t="s">
        <v>112</v>
      </c>
      <c r="F183" s="12">
        <v>112.05</v>
      </c>
      <c r="G183" s="14">
        <v>13.24</v>
      </c>
      <c r="H183" s="14">
        <v>4.3600000000000003</v>
      </c>
      <c r="I183" s="14">
        <v>11.57</v>
      </c>
      <c r="J183" s="14">
        <f t="shared" si="77"/>
        <v>15.93</v>
      </c>
      <c r="K183" s="14">
        <f t="shared" si="72"/>
        <v>488.52999999999997</v>
      </c>
      <c r="L183" s="14">
        <f t="shared" si="73"/>
        <v>1296.4200000000001</v>
      </c>
      <c r="M183" s="14">
        <f t="shared" si="78"/>
        <v>1784.95</v>
      </c>
      <c r="N183" s="15">
        <f t="shared" si="74"/>
        <v>7.6877228915265172e-004</v>
      </c>
    </row>
    <row r="184" ht="39" customHeight="1">
      <c r="A184" s="11" t="s">
        <v>295</v>
      </c>
      <c r="B184" s="12" t="s">
        <v>114</v>
      </c>
      <c r="C184" s="11" t="s">
        <v>36</v>
      </c>
      <c r="D184" s="11" t="s">
        <v>115</v>
      </c>
      <c r="E184" s="13" t="s">
        <v>116</v>
      </c>
      <c r="F184" s="12">
        <v>798.36000000000001</v>
      </c>
      <c r="G184" s="14">
        <v>2.1600000000000001</v>
      </c>
      <c r="H184" s="14">
        <v>0.20000000000000001</v>
      </c>
      <c r="I184" s="14">
        <v>2.3900000000000001</v>
      </c>
      <c r="J184" s="14">
        <f t="shared" si="77"/>
        <v>2.5899999999999999</v>
      </c>
      <c r="K184" s="14">
        <f t="shared" si="72"/>
        <v>159.66999999999999</v>
      </c>
      <c r="L184" s="14">
        <f t="shared" si="73"/>
        <v>1908.0799999999999</v>
      </c>
      <c r="M184" s="14">
        <f t="shared" si="78"/>
        <v>2067.75</v>
      </c>
      <c r="N184" s="15">
        <f t="shared" si="74"/>
        <v>8.9057334989517661e-004</v>
      </c>
    </row>
    <row r="185" ht="39" customHeight="1">
      <c r="A185" s="16" t="s">
        <v>296</v>
      </c>
      <c r="B185" s="17" t="s">
        <v>118</v>
      </c>
      <c r="C185" s="16" t="s">
        <v>36</v>
      </c>
      <c r="D185" s="16" t="s">
        <v>119</v>
      </c>
      <c r="E185" s="18" t="s">
        <v>38</v>
      </c>
      <c r="F185" s="17">
        <v>37</v>
      </c>
      <c r="G185" s="19">
        <v>60.43</v>
      </c>
      <c r="H185" s="19">
        <v>0</v>
      </c>
      <c r="I185" s="19">
        <v>69.489999999999995</v>
      </c>
      <c r="J185" s="19" t="str">
        <f>TRUNC(G185 * (1 + 15.0 / 100), 2) &amp;CHAR(10)&amp; "(15.0%)"</f>
        <v xml:space="preserve">69.49
(15.0%)</v>
      </c>
      <c r="K185" s="19">
        <f t="shared" si="72"/>
        <v>0</v>
      </c>
      <c r="L185" s="19">
        <f t="shared" si="73"/>
        <v>2571.1199999999999</v>
      </c>
      <c r="M185" s="19">
        <f>TRUNC(F185 * TRUNC(G185 * (1 + 15.0 / 100), 2), 2)</f>
        <v>2571.1199999999999</v>
      </c>
      <c r="N185" s="20">
        <f t="shared" si="74"/>
        <v>1.1073732082613886e-003</v>
      </c>
    </row>
    <row r="186" ht="52" customHeight="1">
      <c r="A186" s="11" t="s">
        <v>297</v>
      </c>
      <c r="B186" s="12" t="s">
        <v>121</v>
      </c>
      <c r="C186" s="11" t="s">
        <v>36</v>
      </c>
      <c r="D186" s="11" t="s">
        <v>122</v>
      </c>
      <c r="E186" s="13" t="s">
        <v>38</v>
      </c>
      <c r="F186" s="12">
        <v>37</v>
      </c>
      <c r="G186" s="14">
        <v>69.680000000000007</v>
      </c>
      <c r="H186" s="14">
        <v>41.049999999999997</v>
      </c>
      <c r="I186" s="14">
        <v>42.789999999999999</v>
      </c>
      <c r="J186" s="14">
        <f>TRUNC(G186 * (1 + 20.33 / 100), 2)</f>
        <v>83.840000000000003</v>
      </c>
      <c r="K186" s="14">
        <f t="shared" si="72"/>
        <v>1518.8499999999999</v>
      </c>
      <c r="L186" s="14">
        <f t="shared" si="73"/>
        <v>1583.23</v>
      </c>
      <c r="M186" s="14">
        <f>TRUNC(F186 * j186, 2)</f>
        <v>3102.0799999999999</v>
      </c>
      <c r="N186" s="15">
        <f t="shared" si="74"/>
        <v>1.3360559918959398e-003</v>
      </c>
    </row>
    <row r="187" ht="39" customHeight="1">
      <c r="A187" s="16" t="s">
        <v>298</v>
      </c>
      <c r="B187" s="17" t="s">
        <v>228</v>
      </c>
      <c r="C187" s="16" t="s">
        <v>36</v>
      </c>
      <c r="D187" s="16" t="s">
        <v>229</v>
      </c>
      <c r="E187" s="18" t="s">
        <v>38</v>
      </c>
      <c r="F187" s="17">
        <v>45</v>
      </c>
      <c r="G187" s="19">
        <v>101.15000000000001</v>
      </c>
      <c r="H187" s="19">
        <v>0</v>
      </c>
      <c r="I187" s="19">
        <v>116.31999999999999</v>
      </c>
      <c r="J187" s="19" t="str">
        <f>TRUNC(G187 * (1 + 15.0 / 100), 2) &amp;CHAR(10)&amp; "(15.0%)"</f>
        <v xml:space="preserve">116.32
(15.0%)</v>
      </c>
      <c r="K187" s="19">
        <f t="shared" si="72"/>
        <v>0</v>
      </c>
      <c r="L187" s="19">
        <f t="shared" si="73"/>
        <v>5234.3900000000003</v>
      </c>
      <c r="M187" s="19">
        <f>TRUNC(F187 * TRUNC(G187 * (1 + 15.0 / 100), 2), 2)</f>
        <v>5234.3900000000003</v>
      </c>
      <c r="N187" s="20">
        <f t="shared" si="74"/>
        <v>2.2544351285009377e-003</v>
      </c>
    </row>
    <row r="188" ht="52" customHeight="1">
      <c r="A188" s="11" t="s">
        <v>299</v>
      </c>
      <c r="B188" s="12" t="s">
        <v>231</v>
      </c>
      <c r="C188" s="11" t="s">
        <v>36</v>
      </c>
      <c r="D188" s="11" t="s">
        <v>232</v>
      </c>
      <c r="E188" s="13" t="s">
        <v>38</v>
      </c>
      <c r="F188" s="12">
        <v>45</v>
      </c>
      <c r="G188" s="14">
        <v>100.92</v>
      </c>
      <c r="H188" s="14">
        <v>58.979999999999997</v>
      </c>
      <c r="I188" s="14">
        <v>62.450000000000003</v>
      </c>
      <c r="J188" s="14">
        <f>TRUNC(G188 * (1 + 20.33 / 100), 2)</f>
        <v>121.43000000000001</v>
      </c>
      <c r="K188" s="14">
        <f t="shared" si="72"/>
        <v>2654.0999999999999</v>
      </c>
      <c r="L188" s="14">
        <f t="shared" si="73"/>
        <v>2810.2500000000005</v>
      </c>
      <c r="M188" s="14">
        <f>TRUNC(F188 * j188, 2)</f>
        <v>5464.3500000000004</v>
      </c>
      <c r="N188" s="15">
        <f t="shared" si="74"/>
        <v>2.3534781692659697e-003</v>
      </c>
    </row>
    <row r="189" ht="26" customHeight="1">
      <c r="A189" s="16" t="s">
        <v>300</v>
      </c>
      <c r="B189" s="17" t="s">
        <v>124</v>
      </c>
      <c r="C189" s="16" t="s">
        <v>36</v>
      </c>
      <c r="D189" s="16" t="s">
        <v>125</v>
      </c>
      <c r="E189" s="18" t="s">
        <v>112</v>
      </c>
      <c r="F189" s="17">
        <v>4.8200000000000003</v>
      </c>
      <c r="G189" s="19">
        <v>72.129999999999995</v>
      </c>
      <c r="H189" s="19">
        <v>0</v>
      </c>
      <c r="I189" s="19">
        <v>82.939999999999998</v>
      </c>
      <c r="J189" s="19" t="str">
        <f t="shared" ref="J189:J192" si="79">TRUNC(G189 * (1 + 15.0 / 100), 2) &amp;CHAR(10)&amp; "(15.0%)"</f>
        <v xml:space="preserve">82.94
(15.0%)</v>
      </c>
      <c r="K189" s="19">
        <f t="shared" si="72"/>
        <v>0</v>
      </c>
      <c r="L189" s="19">
        <f t="shared" si="73"/>
        <v>399.76999999999998</v>
      </c>
      <c r="M189" s="19">
        <f t="shared" ref="M189:M192" si="80">TRUNC(F189 * TRUNC(G189 * (1 + 15.0 / 100), 2), 2)</f>
        <v>399.76999999999998</v>
      </c>
      <c r="N189" s="20">
        <f t="shared" si="74"/>
        <v>1.7217966779716829e-004</v>
      </c>
    </row>
    <row r="190" ht="26" customHeight="1">
      <c r="A190" s="16" t="s">
        <v>301</v>
      </c>
      <c r="B190" s="17" t="s">
        <v>127</v>
      </c>
      <c r="C190" s="16" t="s">
        <v>36</v>
      </c>
      <c r="D190" s="16" t="s">
        <v>128</v>
      </c>
      <c r="E190" s="18" t="s">
        <v>112</v>
      </c>
      <c r="F190" s="17">
        <v>43.850000000000001</v>
      </c>
      <c r="G190" s="19">
        <v>68.129999999999995</v>
      </c>
      <c r="H190" s="19">
        <v>0</v>
      </c>
      <c r="I190" s="19">
        <v>78.340000000000003</v>
      </c>
      <c r="J190" s="19" t="str">
        <f t="shared" si="79"/>
        <v xml:space="preserve">78.34
(15.0%)</v>
      </c>
      <c r="K190" s="19">
        <f t="shared" si="72"/>
        <v>0</v>
      </c>
      <c r="L190" s="19">
        <f t="shared" si="73"/>
        <v>3435.1999999999998</v>
      </c>
      <c r="M190" s="19">
        <f t="shared" si="80"/>
        <v>3435.1999999999998</v>
      </c>
      <c r="N190" s="20">
        <f t="shared" si="74"/>
        <v>1.479529716629143e-003</v>
      </c>
    </row>
    <row r="191" ht="26" customHeight="1">
      <c r="A191" s="16" t="s">
        <v>302</v>
      </c>
      <c r="B191" s="17" t="s">
        <v>130</v>
      </c>
      <c r="C191" s="16" t="s">
        <v>36</v>
      </c>
      <c r="D191" s="16" t="s">
        <v>131</v>
      </c>
      <c r="E191" s="18" t="s">
        <v>112</v>
      </c>
      <c r="F191" s="17">
        <v>19.260000000000002</v>
      </c>
      <c r="G191" s="19">
        <v>67.790000000000006</v>
      </c>
      <c r="H191" s="19">
        <v>0</v>
      </c>
      <c r="I191" s="19">
        <v>77.950000000000003</v>
      </c>
      <c r="J191" s="19" t="str">
        <f t="shared" si="79"/>
        <v xml:space="preserve">77.95
(15.0%)</v>
      </c>
      <c r="K191" s="19">
        <f t="shared" si="72"/>
        <v>0</v>
      </c>
      <c r="L191" s="19">
        <f t="shared" si="73"/>
        <v>1501.3099999999999</v>
      </c>
      <c r="M191" s="19">
        <f t="shared" si="80"/>
        <v>1501.3099999999999</v>
      </c>
      <c r="N191" s="20">
        <f t="shared" si="74"/>
        <v>6.4660944308118852e-004</v>
      </c>
    </row>
    <row r="192" ht="26" customHeight="1">
      <c r="A192" s="16" t="s">
        <v>303</v>
      </c>
      <c r="B192" s="17" t="s">
        <v>133</v>
      </c>
      <c r="C192" s="16" t="s">
        <v>36</v>
      </c>
      <c r="D192" s="16" t="s">
        <v>134</v>
      </c>
      <c r="E192" s="18" t="s">
        <v>112</v>
      </c>
      <c r="F192" s="17">
        <v>14.449999999999999</v>
      </c>
      <c r="G192" s="19">
        <v>72.670000000000002</v>
      </c>
      <c r="H192" s="19">
        <v>0</v>
      </c>
      <c r="I192" s="19">
        <v>83.569999999999993</v>
      </c>
      <c r="J192" s="19" t="str">
        <f t="shared" si="79"/>
        <v xml:space="preserve">83.57
(15.0%)</v>
      </c>
      <c r="K192" s="19">
        <f t="shared" si="72"/>
        <v>0</v>
      </c>
      <c r="L192" s="19">
        <f t="shared" si="73"/>
        <v>1207.5799999999999</v>
      </c>
      <c r="M192" s="19">
        <f t="shared" si="80"/>
        <v>1207.5799999999999</v>
      </c>
      <c r="N192" s="20">
        <f t="shared" si="74"/>
        <v>5.2010086609426544e-004</v>
      </c>
    </row>
    <row r="193" ht="39" customHeight="1">
      <c r="A193" s="11" t="s">
        <v>304</v>
      </c>
      <c r="B193" s="12" t="s">
        <v>114</v>
      </c>
      <c r="C193" s="11" t="s">
        <v>36</v>
      </c>
      <c r="D193" s="11" t="s">
        <v>115</v>
      </c>
      <c r="E193" s="13" t="s">
        <v>116</v>
      </c>
      <c r="F193" s="12">
        <v>1515.7</v>
      </c>
      <c r="G193" s="14">
        <v>2.1600000000000001</v>
      </c>
      <c r="H193" s="14">
        <v>0.20000000000000001</v>
      </c>
      <c r="I193" s="14">
        <v>2.3900000000000001</v>
      </c>
      <c r="J193" s="14">
        <f t="shared" ref="J193:J194" si="81">TRUNC(G193 * (1 + 20.33 / 100), 2)</f>
        <v>2.5899999999999999</v>
      </c>
      <c r="K193" s="14">
        <f t="shared" si="72"/>
        <v>303.13999999999999</v>
      </c>
      <c r="L193" s="14">
        <f t="shared" si="73"/>
        <v>3622.52</v>
      </c>
      <c r="M193" s="14">
        <f t="shared" ref="M193:M194" si="82">TRUNC(F193 * j193, 2)</f>
        <v>3925.6599999999999</v>
      </c>
      <c r="N193" s="15">
        <f t="shared" si="74"/>
        <v>1.6907692790470313e-003</v>
      </c>
    </row>
    <row r="194" ht="26" customHeight="1">
      <c r="A194" s="11" t="s">
        <v>305</v>
      </c>
      <c r="B194" s="12" t="s">
        <v>137</v>
      </c>
      <c r="C194" s="11" t="s">
        <v>27</v>
      </c>
      <c r="D194" s="11" t="s">
        <v>138</v>
      </c>
      <c r="E194" s="13" t="s">
        <v>33</v>
      </c>
      <c r="F194" s="12">
        <v>96.299999999999997</v>
      </c>
      <c r="G194" s="14">
        <v>1.1899999999999999</v>
      </c>
      <c r="H194" s="14">
        <v>0.46999999999999997</v>
      </c>
      <c r="I194" s="14">
        <v>0.95999999999999996</v>
      </c>
      <c r="J194" s="14">
        <f t="shared" si="81"/>
        <v>1.4299999999999999</v>
      </c>
      <c r="K194" s="14">
        <f t="shared" si="72"/>
        <v>45.259999999999998</v>
      </c>
      <c r="L194" s="14">
        <f t="shared" si="73"/>
        <v>92.439999999999998</v>
      </c>
      <c r="M194" s="14">
        <f t="shared" si="82"/>
        <v>137.69999999999999</v>
      </c>
      <c r="N194" s="15">
        <f t="shared" si="74"/>
        <v>5.9306952136653759e-005</v>
      </c>
    </row>
    <row r="195" ht="24" customHeight="1">
      <c r="A195" s="16" t="s">
        <v>306</v>
      </c>
      <c r="B195" s="17" t="s">
        <v>140</v>
      </c>
      <c r="C195" s="16" t="s">
        <v>27</v>
      </c>
      <c r="D195" s="16" t="s">
        <v>141</v>
      </c>
      <c r="E195" s="18" t="s">
        <v>56</v>
      </c>
      <c r="F195" s="17">
        <v>115.56</v>
      </c>
      <c r="G195" s="19">
        <v>4.9400000000000004</v>
      </c>
      <c r="H195" s="19">
        <v>0</v>
      </c>
      <c r="I195" s="19">
        <v>5.6799999999999997</v>
      </c>
      <c r="J195" s="19" t="str">
        <f>TRUNC(G195 * (1 + 15.0 / 100), 2) &amp;CHAR(10)&amp; "(15.0%)"</f>
        <v xml:space="preserve">5.68
(15.0%)</v>
      </c>
      <c r="K195" s="19">
        <f t="shared" si="72"/>
        <v>0</v>
      </c>
      <c r="L195" s="19">
        <f t="shared" si="73"/>
        <v>656.38</v>
      </c>
      <c r="M195" s="19">
        <f>TRUNC(F195 * TRUNC(G195 * (1 + 15.0 / 100), 2), 2)</f>
        <v>656.38</v>
      </c>
      <c r="N195" s="20">
        <f t="shared" si="74"/>
        <v>2.827007788195846e-004</v>
      </c>
    </row>
    <row r="196" ht="39" customHeight="1">
      <c r="A196" s="11" t="s">
        <v>307</v>
      </c>
      <c r="B196" s="12" t="s">
        <v>51</v>
      </c>
      <c r="C196" s="11" t="s">
        <v>27</v>
      </c>
      <c r="D196" s="11" t="s">
        <v>52</v>
      </c>
      <c r="E196" s="13" t="s">
        <v>33</v>
      </c>
      <c r="F196" s="12">
        <v>96.299999999999997</v>
      </c>
      <c r="G196" s="14">
        <v>1.04</v>
      </c>
      <c r="H196" s="14">
        <v>0.42999999999999999</v>
      </c>
      <c r="I196" s="14">
        <v>0.81999999999999995</v>
      </c>
      <c r="J196" s="14">
        <f>TRUNC(G196 * (1 + 20.33 / 100), 2)</f>
        <v>1.25</v>
      </c>
      <c r="K196" s="14">
        <f t="shared" si="72"/>
        <v>41.399999999999999</v>
      </c>
      <c r="L196" s="14">
        <f t="shared" si="73"/>
        <v>78.969999999999999</v>
      </c>
      <c r="M196" s="14">
        <f>TRUNC(F196 * j196, 2)</f>
        <v>120.37</v>
      </c>
      <c r="N196" s="15">
        <f t="shared" si="74"/>
        <v>5.1842976243202715e-005</v>
      </c>
    </row>
    <row r="197" ht="24" customHeight="1">
      <c r="A197" s="16" t="s">
        <v>308</v>
      </c>
      <c r="B197" s="17" t="s">
        <v>54</v>
      </c>
      <c r="C197" s="16" t="s">
        <v>27</v>
      </c>
      <c r="D197" s="16" t="s">
        <v>55</v>
      </c>
      <c r="E197" s="18" t="s">
        <v>56</v>
      </c>
      <c r="F197" s="17">
        <v>43.340000000000003</v>
      </c>
      <c r="G197" s="19">
        <v>3.2200000000000002</v>
      </c>
      <c r="H197" s="19">
        <v>0</v>
      </c>
      <c r="I197" s="19">
        <v>3.7000000000000002</v>
      </c>
      <c r="J197" s="19" t="str">
        <f>TRUNC(G197 * (1 + 15.0 / 100), 2) &amp;CHAR(10)&amp; "(15.0%)"</f>
        <v xml:space="preserve">3.7
(15.0%)</v>
      </c>
      <c r="K197" s="19">
        <f t="shared" si="72"/>
        <v>0</v>
      </c>
      <c r="L197" s="19">
        <f t="shared" si="73"/>
        <v>160.34999999999999</v>
      </c>
      <c r="M197" s="19">
        <f>TRUNC(F197 * TRUNC(G197 * (1 + 15.0 / 100), 2), 2)</f>
        <v>160.34999999999999</v>
      </c>
      <c r="N197" s="20">
        <f t="shared" si="74"/>
        <v>6.9062235113380029e-005</v>
      </c>
    </row>
    <row r="198" ht="26" customHeight="1">
      <c r="A198" s="11" t="s">
        <v>309</v>
      </c>
      <c r="B198" s="12" t="s">
        <v>65</v>
      </c>
      <c r="C198" s="11" t="s">
        <v>66</v>
      </c>
      <c r="D198" s="11" t="s">
        <v>67</v>
      </c>
      <c r="E198" s="13" t="s">
        <v>68</v>
      </c>
      <c r="F198" s="12">
        <v>6.9400000000000004</v>
      </c>
      <c r="G198" s="14">
        <v>186.06999999999999</v>
      </c>
      <c r="H198" s="14">
        <v>3</v>
      </c>
      <c r="I198" s="14">
        <v>220.88999999999999</v>
      </c>
      <c r="J198" s="14">
        <f t="shared" ref="J198:J199" si="83">TRUNC(G198 * (1 + 20.33 / 100), 2)</f>
        <v>223.88999999999999</v>
      </c>
      <c r="K198" s="14">
        <f t="shared" si="72"/>
        <v>20.82</v>
      </c>
      <c r="L198" s="14">
        <f t="shared" si="73"/>
        <v>1532.97</v>
      </c>
      <c r="M198" s="14">
        <f t="shared" ref="M198:M199" si="84">TRUNC(F198 * j198, 2)</f>
        <v>1553.79</v>
      </c>
      <c r="N198" s="15">
        <f t="shared" si="74"/>
        <v>6.692124122034223e-004</v>
      </c>
    </row>
    <row r="199" ht="39" customHeight="1">
      <c r="A199" s="11" t="s">
        <v>310</v>
      </c>
      <c r="B199" s="12" t="s">
        <v>73</v>
      </c>
      <c r="C199" s="11" t="s">
        <v>36</v>
      </c>
      <c r="D199" s="11" t="s">
        <v>74</v>
      </c>
      <c r="E199" s="13" t="s">
        <v>60</v>
      </c>
      <c r="F199" s="12">
        <v>127.7</v>
      </c>
      <c r="G199" s="14">
        <v>1.6100000000000001</v>
      </c>
      <c r="H199" s="14">
        <v>0.19</v>
      </c>
      <c r="I199" s="14">
        <v>1.74</v>
      </c>
      <c r="J199" s="14">
        <f t="shared" si="83"/>
        <v>1.9299999999999999</v>
      </c>
      <c r="K199" s="14">
        <f t="shared" si="72"/>
        <v>24.260000000000002</v>
      </c>
      <c r="L199" s="14">
        <f t="shared" si="73"/>
        <v>222.20000000000002</v>
      </c>
      <c r="M199" s="14">
        <f t="shared" si="84"/>
        <v>246.46000000000001</v>
      </c>
      <c r="N199" s="15">
        <f t="shared" si="74"/>
        <v>1.0614953829774645e-004</v>
      </c>
    </row>
    <row r="200" ht="26" customHeight="1">
      <c r="A200" s="16" t="s">
        <v>311</v>
      </c>
      <c r="B200" s="17" t="s">
        <v>70</v>
      </c>
      <c r="C200" s="16" t="s">
        <v>27</v>
      </c>
      <c r="D200" s="16" t="s">
        <v>71</v>
      </c>
      <c r="E200" s="18" t="s">
        <v>68</v>
      </c>
      <c r="F200" s="17">
        <v>0.40000000000000002</v>
      </c>
      <c r="G200" s="19">
        <v>3771.0900000000001</v>
      </c>
      <c r="H200" s="19">
        <v>0</v>
      </c>
      <c r="I200" s="19">
        <v>4336.75</v>
      </c>
      <c r="J200" s="19" t="str">
        <f t="shared" ref="J200:J201" si="85">TRUNC(G200 * (1 + 15.0 / 100), 2) &amp;CHAR(10)&amp; "(15.0%)"</f>
        <v xml:space="preserve">4336.75
(15.0%)</v>
      </c>
      <c r="K200" s="19">
        <f t="shared" si="72"/>
        <v>0</v>
      </c>
      <c r="L200" s="19">
        <f t="shared" si="73"/>
        <v>1734.7</v>
      </c>
      <c r="M200" s="19">
        <f t="shared" ref="M200:M201" si="86">TRUNC(F200 * TRUNC(G200 * (1 + 15.0 / 100), 2), 2)</f>
        <v>1734.7</v>
      </c>
      <c r="N200" s="20">
        <f t="shared" si="74"/>
        <v>7.4712977393938482e-004</v>
      </c>
    </row>
    <row r="201" ht="52" customHeight="1">
      <c r="A201" s="11" t="s">
        <v>312</v>
      </c>
      <c r="B201" s="12" t="s">
        <v>62</v>
      </c>
      <c r="C201" s="11" t="s">
        <v>36</v>
      </c>
      <c r="D201" s="11" t="s">
        <v>63</v>
      </c>
      <c r="E201" s="13" t="s">
        <v>60</v>
      </c>
      <c r="F201" s="12">
        <v>213.94</v>
      </c>
      <c r="G201" s="14">
        <v>0.54000000000000004</v>
      </c>
      <c r="H201" s="14">
        <v>2.9999999999999999e-002</v>
      </c>
      <c r="I201" s="14">
        <v>0.58999999999999997</v>
      </c>
      <c r="J201" s="14" t="str">
        <f t="shared" si="85"/>
        <v xml:space="preserve">0.62
(15.0%)</v>
      </c>
      <c r="K201" s="14">
        <f t="shared" si="72"/>
        <v>6.4100000000000001</v>
      </c>
      <c r="L201" s="14">
        <f t="shared" si="73"/>
        <v>126.22999999999999</v>
      </c>
      <c r="M201" s="14">
        <f t="shared" si="86"/>
        <v>132.63999999999999</v>
      </c>
      <c r="N201" s="15">
        <f t="shared" si="74"/>
        <v>5.712762622662131e-005</v>
      </c>
    </row>
    <row r="202" ht="39" customHeight="1">
      <c r="A202" s="11" t="s">
        <v>313</v>
      </c>
      <c r="B202" s="12" t="s">
        <v>314</v>
      </c>
      <c r="C202" s="11" t="s">
        <v>36</v>
      </c>
      <c r="D202" s="11" t="s">
        <v>315</v>
      </c>
      <c r="E202" s="13" t="s">
        <v>151</v>
      </c>
      <c r="F202" s="12">
        <v>3</v>
      </c>
      <c r="G202" s="14">
        <v>2443.3099999999999</v>
      </c>
      <c r="H202" s="14">
        <v>807.84000000000003</v>
      </c>
      <c r="I202" s="14">
        <v>2132.1900000000001</v>
      </c>
      <c r="J202" s="14">
        <f t="shared" ref="J202:J207" si="87">TRUNC(G202 * (1 + 20.33 / 100), 2)</f>
        <v>2940.0300000000002</v>
      </c>
      <c r="K202" s="14">
        <f t="shared" si="72"/>
        <v>2423.52</v>
      </c>
      <c r="L202" s="14">
        <f t="shared" si="73"/>
        <v>6396.5699999999997</v>
      </c>
      <c r="M202" s="14">
        <f t="shared" ref="M202:M207" si="88">TRUNC(F202 * j202, 2)</f>
        <v>8820.0900000000001</v>
      </c>
      <c r="N202" s="15">
        <f t="shared" si="74"/>
        <v>3.7987847165648404e-003</v>
      </c>
    </row>
    <row r="203" ht="65" customHeight="1">
      <c r="A203" s="11" t="s">
        <v>316</v>
      </c>
      <c r="B203" s="12" t="s">
        <v>249</v>
      </c>
      <c r="C203" s="11" t="s">
        <v>27</v>
      </c>
      <c r="D203" s="11" t="s">
        <v>250</v>
      </c>
      <c r="E203" s="13" t="s">
        <v>29</v>
      </c>
      <c r="F203" s="12">
        <v>1</v>
      </c>
      <c r="G203" s="14">
        <v>910.23000000000002</v>
      </c>
      <c r="H203" s="14">
        <v>359.27999999999997</v>
      </c>
      <c r="I203" s="14">
        <v>735.99000000000001</v>
      </c>
      <c r="J203" s="14">
        <f t="shared" si="87"/>
        <v>1095.27</v>
      </c>
      <c r="K203" s="14">
        <f t="shared" si="72"/>
        <v>359.27999999999997</v>
      </c>
      <c r="L203" s="14">
        <f t="shared" si="73"/>
        <v>735.99000000000001</v>
      </c>
      <c r="M203" s="14">
        <f t="shared" si="88"/>
        <v>1095.27</v>
      </c>
      <c r="N203" s="15">
        <f t="shared" si="74"/>
        <v>4.7172930622158872e-004</v>
      </c>
    </row>
    <row r="204" ht="24" customHeight="1">
      <c r="A204" s="7" t="s">
        <v>317</v>
      </c>
      <c r="B204" s="7"/>
      <c r="C204" s="7"/>
      <c r="D204" s="7" t="s">
        <v>43</v>
      </c>
      <c r="E204" s="7"/>
      <c r="F204" s="8"/>
      <c r="G204" s="7"/>
      <c r="H204" s="7"/>
      <c r="I204" s="7"/>
      <c r="J204" s="7"/>
      <c r="K204" s="7"/>
      <c r="L204" s="7"/>
      <c r="M204" s="9">
        <v>448102.76000000001</v>
      </c>
      <c r="N204" s="10">
        <f t="shared" si="74"/>
        <v>0.19299643383894299</v>
      </c>
    </row>
    <row r="205" ht="24" customHeight="1">
      <c r="A205" s="11" t="s">
        <v>318</v>
      </c>
      <c r="B205" s="12" t="s">
        <v>45</v>
      </c>
      <c r="C205" s="11" t="s">
        <v>27</v>
      </c>
      <c r="D205" s="11" t="s">
        <v>46</v>
      </c>
      <c r="E205" s="13" t="s">
        <v>38</v>
      </c>
      <c r="F205" s="12">
        <v>107</v>
      </c>
      <c r="G205" s="14">
        <v>12.32</v>
      </c>
      <c r="H205" s="14">
        <v>11.25</v>
      </c>
      <c r="I205" s="14">
        <v>3.5699999999999998</v>
      </c>
      <c r="J205" s="14">
        <f t="shared" si="87"/>
        <v>14.82</v>
      </c>
      <c r="K205" s="14">
        <f t="shared" si="72"/>
        <v>1203.75</v>
      </c>
      <c r="L205" s="14">
        <f t="shared" si="73"/>
        <v>381.99000000000001</v>
      </c>
      <c r="M205" s="14">
        <f t="shared" si="88"/>
        <v>1585.74</v>
      </c>
      <c r="N205" s="15">
        <f t="shared" si="74"/>
        <v>6.8297317560767859e-004</v>
      </c>
    </row>
    <row r="206" ht="65" customHeight="1">
      <c r="A206" s="11" t="s">
        <v>319</v>
      </c>
      <c r="B206" s="12" t="s">
        <v>48</v>
      </c>
      <c r="C206" s="11" t="s">
        <v>27</v>
      </c>
      <c r="D206" s="11" t="s">
        <v>49</v>
      </c>
      <c r="E206" s="13" t="s">
        <v>38</v>
      </c>
      <c r="F206" s="12">
        <v>107</v>
      </c>
      <c r="G206" s="14">
        <v>55.740000000000002</v>
      </c>
      <c r="H206" s="14">
        <v>18.23</v>
      </c>
      <c r="I206" s="14">
        <v>48.840000000000003</v>
      </c>
      <c r="J206" s="14">
        <f t="shared" si="87"/>
        <v>67.069999999999993</v>
      </c>
      <c r="K206" s="14">
        <f t="shared" si="72"/>
        <v>1950.6099999999999</v>
      </c>
      <c r="L206" s="14">
        <f t="shared" si="73"/>
        <v>5225.8699999999999</v>
      </c>
      <c r="M206" s="14">
        <f t="shared" si="88"/>
        <v>7176.4799999999996</v>
      </c>
      <c r="N206" s="15">
        <f t="shared" si="74"/>
        <v>3.0908871159742411e-003</v>
      </c>
    </row>
    <row r="207" ht="39" customHeight="1">
      <c r="A207" s="11" t="s">
        <v>320</v>
      </c>
      <c r="B207" s="12" t="s">
        <v>51</v>
      </c>
      <c r="C207" s="11" t="s">
        <v>27</v>
      </c>
      <c r="D207" s="11" t="s">
        <v>52</v>
      </c>
      <c r="E207" s="13" t="s">
        <v>33</v>
      </c>
      <c r="F207" s="12">
        <v>5496.8900000000003</v>
      </c>
      <c r="G207" s="14">
        <v>1.04</v>
      </c>
      <c r="H207" s="14">
        <v>0.42999999999999999</v>
      </c>
      <c r="I207" s="14">
        <v>0.81999999999999995</v>
      </c>
      <c r="J207" s="14">
        <f t="shared" si="87"/>
        <v>1.25</v>
      </c>
      <c r="K207" s="14">
        <f t="shared" si="72"/>
        <v>2363.6599999999999</v>
      </c>
      <c r="L207" s="14">
        <f t="shared" si="73"/>
        <v>4507.4499999999998</v>
      </c>
      <c r="M207" s="14">
        <f t="shared" si="88"/>
        <v>6871.1099999999997</v>
      </c>
      <c r="N207" s="15">
        <f t="shared" si="74"/>
        <v>2.959365228000603e-003</v>
      </c>
    </row>
    <row r="208" ht="24" customHeight="1">
      <c r="A208" s="16" t="s">
        <v>321</v>
      </c>
      <c r="B208" s="17" t="s">
        <v>54</v>
      </c>
      <c r="C208" s="16" t="s">
        <v>27</v>
      </c>
      <c r="D208" s="16" t="s">
        <v>55</v>
      </c>
      <c r="E208" s="18" t="s">
        <v>56</v>
      </c>
      <c r="F208" s="17">
        <v>2473.5999999999999</v>
      </c>
      <c r="G208" s="19">
        <v>3.2200000000000002</v>
      </c>
      <c r="H208" s="19">
        <v>0</v>
      </c>
      <c r="I208" s="19">
        <v>3.7000000000000002</v>
      </c>
      <c r="J208" s="19" t="str">
        <f t="shared" ref="J208:J210" si="89">TRUNC(G208 * (1 + 15.0 / 100), 2) &amp;CHAR(10)&amp; "(15.0%)"</f>
        <v xml:space="preserve">3.7
(15.0%)</v>
      </c>
      <c r="K208" s="19">
        <f t="shared" si="72"/>
        <v>0</v>
      </c>
      <c r="L208" s="19">
        <f t="shared" si="73"/>
        <v>9152.3199999999997</v>
      </c>
      <c r="M208" s="19">
        <f t="shared" ref="M208:M210" si="90">TRUNC(F208 * TRUNC(G208 * (1 + 15.0 / 100), 2), 2)</f>
        <v>9152.3199999999997</v>
      </c>
      <c r="N208" s="20">
        <f t="shared" si="74"/>
        <v>3.9418751211280972e-003</v>
      </c>
    </row>
    <row r="209" ht="39" customHeight="1">
      <c r="A209" s="11" t="s">
        <v>322</v>
      </c>
      <c r="B209" s="12" t="s">
        <v>58</v>
      </c>
      <c r="C209" s="11" t="s">
        <v>36</v>
      </c>
      <c r="D209" s="11" t="s">
        <v>59</v>
      </c>
      <c r="E209" s="13" t="s">
        <v>60</v>
      </c>
      <c r="F209" s="12">
        <v>74.209999999999994</v>
      </c>
      <c r="G209" s="14">
        <v>1.3799999999999999</v>
      </c>
      <c r="H209" s="14">
        <v>0.11</v>
      </c>
      <c r="I209" s="14">
        <v>1.47</v>
      </c>
      <c r="J209" s="14" t="str">
        <f t="shared" si="89"/>
        <v xml:space="preserve">1.58
(15.0%)</v>
      </c>
      <c r="K209" s="14">
        <f t="shared" si="72"/>
        <v>8.1600000000000001</v>
      </c>
      <c r="L209" s="14">
        <f t="shared" si="73"/>
        <v>109.09</v>
      </c>
      <c r="M209" s="14">
        <f t="shared" si="90"/>
        <v>117.25</v>
      </c>
      <c r="N209" s="15">
        <f t="shared" si="74"/>
        <v>5.0499202164289424e-005</v>
      </c>
    </row>
    <row r="210" ht="52" customHeight="1">
      <c r="A210" s="11" t="s">
        <v>323</v>
      </c>
      <c r="B210" s="12" t="s">
        <v>62</v>
      </c>
      <c r="C210" s="11" t="s">
        <v>36</v>
      </c>
      <c r="D210" s="11" t="s">
        <v>63</v>
      </c>
      <c r="E210" s="13" t="s">
        <v>60</v>
      </c>
      <c r="F210" s="12">
        <v>408.13999999999999</v>
      </c>
      <c r="G210" s="14">
        <v>0.54000000000000004</v>
      </c>
      <c r="H210" s="14">
        <v>2.9999999999999999e-002</v>
      </c>
      <c r="I210" s="14">
        <v>0.58999999999999997</v>
      </c>
      <c r="J210" s="14" t="str">
        <f t="shared" si="89"/>
        <v xml:space="preserve">0.62
(15.0%)</v>
      </c>
      <c r="K210" s="14">
        <f t="shared" si="72"/>
        <v>12.24</v>
      </c>
      <c r="L210" s="14">
        <f t="shared" si="73"/>
        <v>240.79999999999998</v>
      </c>
      <c r="M210" s="14">
        <f t="shared" si="90"/>
        <v>253.03999999999999</v>
      </c>
      <c r="N210" s="15">
        <f t="shared" si="74"/>
        <v>1.0898352337442896e-004</v>
      </c>
    </row>
    <row r="211" ht="26" customHeight="1">
      <c r="A211" s="11" t="s">
        <v>324</v>
      </c>
      <c r="B211" s="12" t="s">
        <v>65</v>
      </c>
      <c r="C211" s="11" t="s">
        <v>66</v>
      </c>
      <c r="D211" s="11" t="s">
        <v>67</v>
      </c>
      <c r="E211" s="13" t="s">
        <v>68</v>
      </c>
      <c r="F211" s="12">
        <v>527.71000000000004</v>
      </c>
      <c r="G211" s="14">
        <v>186.06999999999999</v>
      </c>
      <c r="H211" s="14">
        <v>3</v>
      </c>
      <c r="I211" s="14">
        <v>220.88999999999999</v>
      </c>
      <c r="J211" s="14">
        <f>TRUNC(G211 * (1 + 20.33 / 100), 2)</f>
        <v>223.88999999999999</v>
      </c>
      <c r="K211" s="14">
        <f t="shared" si="72"/>
        <v>1583.1300000000001</v>
      </c>
      <c r="L211" s="14">
        <f t="shared" si="73"/>
        <v>116565.86</v>
      </c>
      <c r="M211" s="14">
        <f>TRUNC(F211 * j211, 2)</f>
        <v>118148.99000000001</v>
      </c>
      <c r="N211" s="15">
        <f t="shared" si="74"/>
        <v>5.0886394298649128e-002</v>
      </c>
    </row>
    <row r="212" ht="26" customHeight="1">
      <c r="A212" s="16" t="s">
        <v>325</v>
      </c>
      <c r="B212" s="17" t="s">
        <v>70</v>
      </c>
      <c r="C212" s="16" t="s">
        <v>27</v>
      </c>
      <c r="D212" s="16" t="s">
        <v>71</v>
      </c>
      <c r="E212" s="18" t="s">
        <v>68</v>
      </c>
      <c r="F212" s="17">
        <v>30.34</v>
      </c>
      <c r="G212" s="19">
        <v>3771.0900000000001</v>
      </c>
      <c r="H212" s="19">
        <v>0</v>
      </c>
      <c r="I212" s="19">
        <v>4336.75</v>
      </c>
      <c r="J212" s="19" t="str">
        <f>TRUNC(G212 * (1 + 15.0 / 100), 2) &amp;CHAR(10)&amp; "(15.0%)"</f>
        <v xml:space="preserve">4336.75
(15.0%)</v>
      </c>
      <c r="K212" s="19">
        <f t="shared" si="72"/>
        <v>0</v>
      </c>
      <c r="L212" s="19">
        <f t="shared" si="73"/>
        <v>131576.98999999999</v>
      </c>
      <c r="M212" s="19">
        <f>TRUNC(F212 * TRUNC(G212 * (1 + 15.0 / 100), 2), 2)</f>
        <v>131576.98999999999</v>
      </c>
      <c r="N212" s="20">
        <f t="shared" si="74"/>
        <v>5.6669791199818229e-002</v>
      </c>
    </row>
    <row r="213" ht="39" customHeight="1">
      <c r="A213" s="11" t="s">
        <v>326</v>
      </c>
      <c r="B213" s="12" t="s">
        <v>73</v>
      </c>
      <c r="C213" s="11" t="s">
        <v>36</v>
      </c>
      <c r="D213" s="11" t="s">
        <v>74</v>
      </c>
      <c r="E213" s="13" t="s">
        <v>60</v>
      </c>
      <c r="F213" s="12">
        <v>11398.540000000001</v>
      </c>
      <c r="G213" s="14">
        <v>1.6100000000000001</v>
      </c>
      <c r="H213" s="14">
        <v>0.19</v>
      </c>
      <c r="I213" s="14">
        <v>1.74</v>
      </c>
      <c r="J213" s="14">
        <f>TRUNC(G213 * (1 + 20.33 / 100), 2)</f>
        <v>1.9299999999999999</v>
      </c>
      <c r="K213" s="14">
        <f t="shared" si="72"/>
        <v>2165.7199999999998</v>
      </c>
      <c r="L213" s="14">
        <f t="shared" si="73"/>
        <v>19833.459999999999</v>
      </c>
      <c r="M213" s="14">
        <f>TRUNC(F213 * j213, 2)</f>
        <v>21999.18</v>
      </c>
      <c r="N213" s="15">
        <f t="shared" si="74"/>
        <v>9.4749768722268025e-003</v>
      </c>
    </row>
    <row r="214" ht="39" customHeight="1">
      <c r="A214" s="11" t="s">
        <v>327</v>
      </c>
      <c r="B214" s="12" t="s">
        <v>58</v>
      </c>
      <c r="C214" s="11" t="s">
        <v>36</v>
      </c>
      <c r="D214" s="11" t="s">
        <v>59</v>
      </c>
      <c r="E214" s="13" t="s">
        <v>60</v>
      </c>
      <c r="F214" s="12">
        <v>910.20000000000005</v>
      </c>
      <c r="G214" s="14">
        <v>1.3799999999999999</v>
      </c>
      <c r="H214" s="14">
        <v>0.11</v>
      </c>
      <c r="I214" s="14">
        <v>1.47</v>
      </c>
      <c r="J214" s="14" t="str">
        <f t="shared" ref="J214:J215" si="91">TRUNC(G214 * (1 + 15.0 / 100), 2) &amp;CHAR(10)&amp; "(15.0%)"</f>
        <v xml:space="preserve">1.58
(15.0%)</v>
      </c>
      <c r="K214" s="14">
        <f t="shared" si="72"/>
        <v>100.12</v>
      </c>
      <c r="L214" s="14">
        <f t="shared" si="73"/>
        <v>1337.9899999999998</v>
      </c>
      <c r="M214" s="14">
        <f t="shared" ref="M214:M215" si="92">TRUNC(F214 * TRUNC(G214 * (1 + 15.0 / 100), 2), 2)</f>
        <v>1438.1099999999999</v>
      </c>
      <c r="N214" s="15">
        <f t="shared" si="74"/>
        <v>6.1938940404679117e-004</v>
      </c>
    </row>
    <row r="215" ht="52" customHeight="1">
      <c r="A215" s="11" t="s">
        <v>328</v>
      </c>
      <c r="B215" s="12" t="s">
        <v>62</v>
      </c>
      <c r="C215" s="11" t="s">
        <v>36</v>
      </c>
      <c r="D215" s="11" t="s">
        <v>63</v>
      </c>
      <c r="E215" s="13" t="s">
        <v>60</v>
      </c>
      <c r="F215" s="12">
        <v>11225.799999999999</v>
      </c>
      <c r="G215" s="14">
        <v>0.54000000000000004</v>
      </c>
      <c r="H215" s="14">
        <v>2.9999999999999999e-002</v>
      </c>
      <c r="I215" s="14">
        <v>0.58999999999999997</v>
      </c>
      <c r="J215" s="14" t="str">
        <f t="shared" si="91"/>
        <v xml:space="preserve">0.62
(15.0%)</v>
      </c>
      <c r="K215" s="14">
        <f t="shared" si="72"/>
        <v>336.76999999999998</v>
      </c>
      <c r="L215" s="14">
        <f t="shared" si="73"/>
        <v>6623.2199999999993</v>
      </c>
      <c r="M215" s="14">
        <f t="shared" si="92"/>
        <v>6959.9899999999998</v>
      </c>
      <c r="N215" s="15">
        <f t="shared" si="74"/>
        <v>2.997645561376825e-003</v>
      </c>
    </row>
    <row r="216" ht="39" customHeight="1">
      <c r="A216" s="11" t="s">
        <v>329</v>
      </c>
      <c r="B216" s="12" t="s">
        <v>51</v>
      </c>
      <c r="C216" s="11" t="s">
        <v>27</v>
      </c>
      <c r="D216" s="11" t="s">
        <v>52</v>
      </c>
      <c r="E216" s="13" t="s">
        <v>33</v>
      </c>
      <c r="F216" s="12">
        <v>22850.400000000001</v>
      </c>
      <c r="G216" s="14">
        <v>1.04</v>
      </c>
      <c r="H216" s="14">
        <v>0.42999999999999999</v>
      </c>
      <c r="I216" s="14">
        <v>0.81999999999999995</v>
      </c>
      <c r="J216" s="14">
        <f>TRUNC(G216 * (1 + 20.33 / 100), 2)</f>
        <v>1.25</v>
      </c>
      <c r="K216" s="14">
        <f t="shared" si="72"/>
        <v>9825.6700000000001</v>
      </c>
      <c r="L216" s="14">
        <f t="shared" si="73"/>
        <v>18737.330000000002</v>
      </c>
      <c r="M216" s="14">
        <f>TRUNC(F216 * j216, 2)</f>
        <v>28563</v>
      </c>
      <c r="N216" s="15">
        <f t="shared" si="74"/>
        <v>1.2301993274359052e-002</v>
      </c>
    </row>
    <row r="217" ht="24" customHeight="1">
      <c r="A217" s="16" t="s">
        <v>330</v>
      </c>
      <c r="B217" s="17" t="s">
        <v>54</v>
      </c>
      <c r="C217" s="16" t="s">
        <v>27</v>
      </c>
      <c r="D217" s="16" t="s">
        <v>55</v>
      </c>
      <c r="E217" s="18" t="s">
        <v>56</v>
      </c>
      <c r="F217" s="17">
        <v>1282.6800000000001</v>
      </c>
      <c r="G217" s="19">
        <v>3.2200000000000002</v>
      </c>
      <c r="H217" s="19">
        <v>0</v>
      </c>
      <c r="I217" s="19">
        <v>3.7000000000000002</v>
      </c>
      <c r="J217" s="19" t="str">
        <f t="shared" ref="J217:J219" si="93">TRUNC(G217 * (1 + 15.0 / 100), 2) &amp;CHAR(10)&amp; "(15.0%)"</f>
        <v xml:space="preserve">3.7
(15.0%)</v>
      </c>
      <c r="K217" s="19">
        <f t="shared" si="72"/>
        <v>0</v>
      </c>
      <c r="L217" s="19">
        <f t="shared" si="73"/>
        <v>4745.9099999999999</v>
      </c>
      <c r="M217" s="19">
        <f t="shared" ref="M217:M219" si="94">TRUNC(F217 * TRUNC(G217 * (1 + 15.0 / 100), 2), 2)</f>
        <v>4745.9099999999999</v>
      </c>
      <c r="N217" s="20">
        <f t="shared" si="74"/>
        <v>2.0440483457869751e-003</v>
      </c>
    </row>
    <row r="218" ht="39" customHeight="1">
      <c r="A218" s="11" t="s">
        <v>331</v>
      </c>
      <c r="B218" s="12" t="s">
        <v>58</v>
      </c>
      <c r="C218" s="11" t="s">
        <v>36</v>
      </c>
      <c r="D218" s="11" t="s">
        <v>59</v>
      </c>
      <c r="E218" s="13" t="s">
        <v>60</v>
      </c>
      <c r="F218" s="12">
        <v>38.479999999999997</v>
      </c>
      <c r="G218" s="14">
        <v>1.3799999999999999</v>
      </c>
      <c r="H218" s="14">
        <v>0.11</v>
      </c>
      <c r="I218" s="14">
        <v>1.47</v>
      </c>
      <c r="J218" s="14" t="str">
        <f t="shared" si="93"/>
        <v xml:space="preserve">1.58
(15.0%)</v>
      </c>
      <c r="K218" s="14">
        <f t="shared" si="72"/>
        <v>4.2300000000000004</v>
      </c>
      <c r="L218" s="14">
        <f t="shared" si="73"/>
        <v>56.560000000000002</v>
      </c>
      <c r="M218" s="14">
        <f t="shared" si="94"/>
        <v>60.789999999999999</v>
      </c>
      <c r="N218" s="15">
        <f t="shared" si="74"/>
        <v>2.6182059697800889e-005</v>
      </c>
    </row>
    <row r="219" ht="52" customHeight="1">
      <c r="A219" s="11" t="s">
        <v>332</v>
      </c>
      <c r="B219" s="12" t="s">
        <v>62</v>
      </c>
      <c r="C219" s="11" t="s">
        <v>36</v>
      </c>
      <c r="D219" s="11" t="s">
        <v>63</v>
      </c>
      <c r="E219" s="13" t="s">
        <v>60</v>
      </c>
      <c r="F219" s="12">
        <v>211.63999999999999</v>
      </c>
      <c r="G219" s="14">
        <v>0.54000000000000004</v>
      </c>
      <c r="H219" s="14">
        <v>2.9999999999999999e-002</v>
      </c>
      <c r="I219" s="14">
        <v>0.58999999999999997</v>
      </c>
      <c r="J219" s="14" t="str">
        <f t="shared" si="93"/>
        <v xml:space="preserve">0.62
(15.0%)</v>
      </c>
      <c r="K219" s="14">
        <f t="shared" si="72"/>
        <v>6.3399999999999999</v>
      </c>
      <c r="L219" s="14">
        <f t="shared" si="73"/>
        <v>124.87</v>
      </c>
      <c r="M219" s="14">
        <f t="shared" si="94"/>
        <v>131.21000000000001</v>
      </c>
      <c r="N219" s="15">
        <f t="shared" si="74"/>
        <v>5.651172977378606e-005</v>
      </c>
    </row>
    <row r="220" ht="26" customHeight="1">
      <c r="A220" s="11" t="s">
        <v>333</v>
      </c>
      <c r="B220" s="12" t="s">
        <v>65</v>
      </c>
      <c r="C220" s="11" t="s">
        <v>66</v>
      </c>
      <c r="D220" s="11" t="s">
        <v>67</v>
      </c>
      <c r="E220" s="13" t="s">
        <v>68</v>
      </c>
      <c r="F220" s="12">
        <v>218.05000000000001</v>
      </c>
      <c r="G220" s="14">
        <v>186.06999999999999</v>
      </c>
      <c r="H220" s="14">
        <v>3</v>
      </c>
      <c r="I220" s="14">
        <v>220.88999999999999</v>
      </c>
      <c r="J220" s="14">
        <f>TRUNC(G220 * (1 + 20.33 / 100), 2)</f>
        <v>223.88999999999999</v>
      </c>
      <c r="K220" s="14">
        <f t="shared" si="72"/>
        <v>654.14999999999998</v>
      </c>
      <c r="L220" s="14">
        <f t="shared" si="73"/>
        <v>48165.059999999998</v>
      </c>
      <c r="M220" s="14">
        <f>TRUNC(F220 * j220, 2)</f>
        <v>48819.209999999999</v>
      </c>
      <c r="N220" s="15">
        <f t="shared" si="74"/>
        <v>2.1026278509943708e-002</v>
      </c>
    </row>
    <row r="221" ht="26" customHeight="1">
      <c r="A221" s="16" t="s">
        <v>334</v>
      </c>
      <c r="B221" s="17" t="s">
        <v>70</v>
      </c>
      <c r="C221" s="16" t="s">
        <v>27</v>
      </c>
      <c r="D221" s="16" t="s">
        <v>71</v>
      </c>
      <c r="E221" s="18" t="s">
        <v>68</v>
      </c>
      <c r="F221" s="17">
        <v>11.09</v>
      </c>
      <c r="G221" s="19">
        <v>3771.0900000000001</v>
      </c>
      <c r="H221" s="19">
        <v>0</v>
      </c>
      <c r="I221" s="19">
        <v>4336.75</v>
      </c>
      <c r="J221" s="19" t="str">
        <f>TRUNC(G221 * (1 + 15.0 / 100), 2) &amp;CHAR(10)&amp; "(15.0%)"</f>
        <v xml:space="preserve">4336.75
(15.0%)</v>
      </c>
      <c r="K221" s="19">
        <f t="shared" si="72"/>
        <v>0</v>
      </c>
      <c r="L221" s="19">
        <f t="shared" si="73"/>
        <v>48094.550000000003</v>
      </c>
      <c r="M221" s="19">
        <f>TRUNC(F221 * TRUNC(G221 * (1 + 15.0 / 100), 2), 2)</f>
        <v>48094.550000000003</v>
      </c>
      <c r="N221" s="20">
        <f t="shared" si="74"/>
        <v>2.0714169752243293e-002</v>
      </c>
    </row>
    <row r="222" ht="39" customHeight="1">
      <c r="A222" s="11" t="s">
        <v>335</v>
      </c>
      <c r="B222" s="12" t="s">
        <v>73</v>
      </c>
      <c r="C222" s="11" t="s">
        <v>36</v>
      </c>
      <c r="D222" s="11" t="s">
        <v>74</v>
      </c>
      <c r="E222" s="13" t="s">
        <v>60</v>
      </c>
      <c r="F222" s="12">
        <v>4709.8800000000001</v>
      </c>
      <c r="G222" s="14">
        <v>1.6100000000000001</v>
      </c>
      <c r="H222" s="14">
        <v>0.19</v>
      </c>
      <c r="I222" s="14">
        <v>1.74</v>
      </c>
      <c r="J222" s="14">
        <f>TRUNC(G222 * (1 + 20.33 / 100), 2)</f>
        <v>1.9299999999999999</v>
      </c>
      <c r="K222" s="14">
        <f t="shared" si="72"/>
        <v>894.87</v>
      </c>
      <c r="L222" s="14">
        <f t="shared" si="73"/>
        <v>8195.1899999999987</v>
      </c>
      <c r="M222" s="14">
        <f>TRUNC(F222 * j222, 2)</f>
        <v>9090.0599999999995</v>
      </c>
      <c r="N222" s="15">
        <f t="shared" si="74"/>
        <v>3.9150599371046545e-003</v>
      </c>
    </row>
    <row r="223" ht="39" customHeight="1">
      <c r="A223" s="11" t="s">
        <v>336</v>
      </c>
      <c r="B223" s="12" t="s">
        <v>58</v>
      </c>
      <c r="C223" s="11" t="s">
        <v>36</v>
      </c>
      <c r="D223" s="11" t="s">
        <v>59</v>
      </c>
      <c r="E223" s="13" t="s">
        <v>60</v>
      </c>
      <c r="F223" s="12">
        <v>359.69999999999999</v>
      </c>
      <c r="G223" s="14">
        <v>1.3799999999999999</v>
      </c>
      <c r="H223" s="14">
        <v>0.11</v>
      </c>
      <c r="I223" s="14">
        <v>1.47</v>
      </c>
      <c r="J223" s="14" t="str">
        <f t="shared" ref="J223:J224" si="95">TRUNC(G223 * (1 + 15.0 / 100), 2) &amp;CHAR(10)&amp; "(15.0%)"</f>
        <v xml:space="preserve">1.58
(15.0%)</v>
      </c>
      <c r="K223" s="14">
        <f t="shared" si="72"/>
        <v>39.560000000000002</v>
      </c>
      <c r="L223" s="14">
        <f t="shared" si="73"/>
        <v>528.75999999999999</v>
      </c>
      <c r="M223" s="14">
        <f t="shared" ref="M223:M224" si="96">TRUNC(F223 * TRUNC(G223 * (1 + 15.0 / 100), 2), 2)</f>
        <v>568.32000000000005</v>
      </c>
      <c r="N223" s="15">
        <f t="shared" si="74"/>
        <v>2.4477361683589741e-004</v>
      </c>
    </row>
    <row r="224" ht="52" customHeight="1">
      <c r="A224" s="11" t="s">
        <v>337</v>
      </c>
      <c r="B224" s="12" t="s">
        <v>62</v>
      </c>
      <c r="C224" s="11" t="s">
        <v>36</v>
      </c>
      <c r="D224" s="11" t="s">
        <v>63</v>
      </c>
      <c r="E224" s="13" t="s">
        <v>60</v>
      </c>
      <c r="F224" s="12">
        <v>4436.3000000000002</v>
      </c>
      <c r="G224" s="14">
        <v>0.54000000000000004</v>
      </c>
      <c r="H224" s="14">
        <v>2.9999999999999999e-002</v>
      </c>
      <c r="I224" s="14">
        <v>0.58999999999999997</v>
      </c>
      <c r="J224" s="14" t="str">
        <f t="shared" si="95"/>
        <v xml:space="preserve">0.62
(15.0%)</v>
      </c>
      <c r="K224" s="14">
        <f t="shared" si="72"/>
        <v>133.08000000000001</v>
      </c>
      <c r="L224" s="14">
        <f t="shared" si="73"/>
        <v>2617.4200000000001</v>
      </c>
      <c r="M224" s="14">
        <f t="shared" si="96"/>
        <v>2750.5</v>
      </c>
      <c r="N224" s="15">
        <f t="shared" si="74"/>
        <v>1.1846316038624995e-003</v>
      </c>
    </row>
    <row r="225" ht="24" customHeight="1">
      <c r="A225" s="7" t="s">
        <v>338</v>
      </c>
      <c r="B225" s="7"/>
      <c r="C225" s="7"/>
      <c r="D225" s="7" t="s">
        <v>87</v>
      </c>
      <c r="E225" s="7"/>
      <c r="F225" s="8"/>
      <c r="G225" s="7"/>
      <c r="H225" s="7"/>
      <c r="I225" s="7"/>
      <c r="J225" s="7"/>
      <c r="K225" s="7"/>
      <c r="L225" s="7"/>
      <c r="M225" s="9">
        <v>12823.549999999999</v>
      </c>
      <c r="N225" s="10">
        <f t="shared" si="74"/>
        <v>5.5230622082206703e-003</v>
      </c>
    </row>
    <row r="226" ht="26" customHeight="1">
      <c r="A226" s="11" t="s">
        <v>339</v>
      </c>
      <c r="B226" s="12" t="s">
        <v>89</v>
      </c>
      <c r="C226" s="11" t="s">
        <v>27</v>
      </c>
      <c r="D226" s="11" t="s">
        <v>90</v>
      </c>
      <c r="E226" s="13" t="s">
        <v>38</v>
      </c>
      <c r="F226" s="12">
        <v>814.39999999999998</v>
      </c>
      <c r="G226" s="14">
        <v>2.6699999999999999</v>
      </c>
      <c r="H226" s="14">
        <v>1.24</v>
      </c>
      <c r="I226" s="14">
        <v>1.97</v>
      </c>
      <c r="J226" s="14">
        <f t="shared" ref="J226:J239" si="97">TRUNC(G226 * (1 + 20.33 / 100), 2)</f>
        <v>3.21</v>
      </c>
      <c r="K226" s="14">
        <f t="shared" si="72"/>
        <v>1009.85</v>
      </c>
      <c r="L226" s="14">
        <f t="shared" si="73"/>
        <v>1604.3699999999999</v>
      </c>
      <c r="M226" s="14">
        <f t="shared" ref="M226:M239" si="98">TRUNC(F226 * j226, 2)</f>
        <v>2614.2199999999998</v>
      </c>
      <c r="N226" s="15">
        <f t="shared" si="74"/>
        <v>1.1259362412104792e-003</v>
      </c>
    </row>
    <row r="227" ht="52" customHeight="1">
      <c r="A227" s="11" t="s">
        <v>340</v>
      </c>
      <c r="B227" s="12" t="s">
        <v>92</v>
      </c>
      <c r="C227" s="11" t="s">
        <v>36</v>
      </c>
      <c r="D227" s="11" t="s">
        <v>93</v>
      </c>
      <c r="E227" s="13" t="s">
        <v>38</v>
      </c>
      <c r="F227" s="12">
        <v>407.19999999999999</v>
      </c>
      <c r="G227" s="14">
        <v>5.5099999999999998</v>
      </c>
      <c r="H227" s="14">
        <v>2.27</v>
      </c>
      <c r="I227" s="14">
        <v>4.3600000000000003</v>
      </c>
      <c r="J227" s="14">
        <f t="shared" si="97"/>
        <v>6.6299999999999999</v>
      </c>
      <c r="K227" s="14">
        <f t="shared" si="72"/>
        <v>924.34000000000003</v>
      </c>
      <c r="L227" s="14">
        <f t="shared" si="73"/>
        <v>1775.3899999999999</v>
      </c>
      <c r="M227" s="14">
        <f t="shared" si="98"/>
        <v>2699.73</v>
      </c>
      <c r="N227" s="15">
        <f t="shared" si="74"/>
        <v>1.162765126302747e-003</v>
      </c>
    </row>
    <row r="228" ht="52" customHeight="1">
      <c r="A228" s="11" t="s">
        <v>341</v>
      </c>
      <c r="B228" s="12" t="s">
        <v>95</v>
      </c>
      <c r="C228" s="11" t="s">
        <v>36</v>
      </c>
      <c r="D228" s="11" t="s">
        <v>96</v>
      </c>
      <c r="E228" s="13" t="s">
        <v>33</v>
      </c>
      <c r="F228" s="12">
        <v>193.80000000000001</v>
      </c>
      <c r="G228" s="14">
        <v>23.170000000000002</v>
      </c>
      <c r="H228" s="14">
        <v>12.210000000000001</v>
      </c>
      <c r="I228" s="14">
        <v>15.67</v>
      </c>
      <c r="J228" s="14">
        <f t="shared" si="97"/>
        <v>27.879999999999999</v>
      </c>
      <c r="K228" s="14">
        <f t="shared" ref="K228:K287" si="99">TRUNC(F228*H228,2)</f>
        <v>2366.29</v>
      </c>
      <c r="L228" s="14">
        <f t="shared" ref="L228:L287" si="100">M228-K228</f>
        <v>3036.8500000000004</v>
      </c>
      <c r="M228" s="14">
        <f t="shared" si="98"/>
        <v>5403.1400000000003</v>
      </c>
      <c r="N228" s="15">
        <f t="shared" ref="N228:N287" si="101">M228/2321818.86</f>
        <v>2.3271152169036997e-003</v>
      </c>
    </row>
    <row r="229" ht="65" customHeight="1">
      <c r="A229" s="11" t="s">
        <v>342</v>
      </c>
      <c r="B229" s="12" t="s">
        <v>284</v>
      </c>
      <c r="C229" s="11" t="s">
        <v>27</v>
      </c>
      <c r="D229" s="11" t="s">
        <v>285</v>
      </c>
      <c r="E229" s="13" t="s">
        <v>100</v>
      </c>
      <c r="F229" s="12">
        <v>2</v>
      </c>
      <c r="G229" s="14">
        <v>468.25</v>
      </c>
      <c r="H229" s="14">
        <v>16.079999999999998</v>
      </c>
      <c r="I229" s="14">
        <v>547.36000000000001</v>
      </c>
      <c r="J229" s="14">
        <f t="shared" si="97"/>
        <v>563.44000000000005</v>
      </c>
      <c r="K229" s="14">
        <f t="shared" si="99"/>
        <v>32.149999999999999</v>
      </c>
      <c r="L229" s="14">
        <f t="shared" si="100"/>
        <v>1094.73</v>
      </c>
      <c r="M229" s="14">
        <f t="shared" si="98"/>
        <v>1126.8800000000001</v>
      </c>
      <c r="N229" s="15">
        <f t="shared" si="101"/>
        <v>4.8534363270698913e-004</v>
      </c>
    </row>
    <row r="230" ht="52" customHeight="1">
      <c r="A230" s="11" t="s">
        <v>343</v>
      </c>
      <c r="B230" s="12" t="s">
        <v>98</v>
      </c>
      <c r="C230" s="11" t="s">
        <v>27</v>
      </c>
      <c r="D230" s="11" t="s">
        <v>99</v>
      </c>
      <c r="E230" s="13" t="s">
        <v>100</v>
      </c>
      <c r="F230" s="12">
        <v>2</v>
      </c>
      <c r="G230" s="14">
        <v>407.04000000000002</v>
      </c>
      <c r="H230" s="14">
        <v>16.079999999999998</v>
      </c>
      <c r="I230" s="14">
        <v>473.70999999999998</v>
      </c>
      <c r="J230" s="14">
        <f t="shared" si="97"/>
        <v>489.79000000000002</v>
      </c>
      <c r="K230" s="14">
        <f t="shared" si="99"/>
        <v>32.149999999999999</v>
      </c>
      <c r="L230" s="14">
        <f t="shared" si="100"/>
        <v>947.43000000000006</v>
      </c>
      <c r="M230" s="14">
        <f t="shared" si="98"/>
        <v>979.58000000000004</v>
      </c>
      <c r="N230" s="15">
        <f t="shared" si="101"/>
        <v>4.2190199109675596e-004</v>
      </c>
    </row>
    <row r="231" ht="26" customHeight="1">
      <c r="A231" s="7" t="s">
        <v>344</v>
      </c>
      <c r="B231" s="7"/>
      <c r="C231" s="7"/>
      <c r="D231" s="7" t="s">
        <v>345</v>
      </c>
      <c r="E231" s="7"/>
      <c r="F231" s="8"/>
      <c r="G231" s="7"/>
      <c r="H231" s="7"/>
      <c r="I231" s="7"/>
      <c r="J231" s="7"/>
      <c r="K231" s="7"/>
      <c r="L231" s="7"/>
      <c r="M231" s="9">
        <v>310702</v>
      </c>
      <c r="N231" s="10">
        <f t="shared" si="101"/>
        <v>0.13381836341875525</v>
      </c>
    </row>
    <row r="232" ht="24" customHeight="1">
      <c r="A232" s="7" t="s">
        <v>346</v>
      </c>
      <c r="B232" s="7"/>
      <c r="C232" s="7"/>
      <c r="D232" s="7" t="s">
        <v>24</v>
      </c>
      <c r="E232" s="7"/>
      <c r="F232" s="8"/>
      <c r="G232" s="7"/>
      <c r="H232" s="7"/>
      <c r="I232" s="7"/>
      <c r="J232" s="7"/>
      <c r="K232" s="7"/>
      <c r="L232" s="7"/>
      <c r="M232" s="9">
        <v>8633.1700000000001</v>
      </c>
      <c r="N232" s="10">
        <f t="shared" si="101"/>
        <v>3.7182788669396891e-003</v>
      </c>
    </row>
    <row r="233" ht="24" customHeight="1">
      <c r="A233" s="11" t="s">
        <v>347</v>
      </c>
      <c r="B233" s="12" t="s">
        <v>35</v>
      </c>
      <c r="C233" s="11" t="s">
        <v>36</v>
      </c>
      <c r="D233" s="11" t="s">
        <v>37</v>
      </c>
      <c r="E233" s="13" t="s">
        <v>38</v>
      </c>
      <c r="F233" s="12">
        <v>332</v>
      </c>
      <c r="G233" s="14">
        <v>0.64000000000000001</v>
      </c>
      <c r="H233" s="14">
        <v>0.66000000000000003</v>
      </c>
      <c r="I233" s="14">
        <v>0.11</v>
      </c>
      <c r="J233" s="14">
        <f t="shared" si="97"/>
        <v>0.77000000000000002</v>
      </c>
      <c r="K233" s="14">
        <f t="shared" si="99"/>
        <v>219.12</v>
      </c>
      <c r="L233" s="14">
        <f t="shared" si="100"/>
        <v>36.519999999999982</v>
      </c>
      <c r="M233" s="14">
        <f t="shared" si="98"/>
        <v>255.63999999999999</v>
      </c>
      <c r="N233" s="15">
        <f t="shared" si="101"/>
        <v>1.1010333510685671e-004</v>
      </c>
    </row>
    <row r="234" ht="24" customHeight="1">
      <c r="A234" s="11" t="s">
        <v>348</v>
      </c>
      <c r="B234" s="12" t="s">
        <v>31</v>
      </c>
      <c r="C234" s="11" t="s">
        <v>27</v>
      </c>
      <c r="D234" s="11" t="s">
        <v>32</v>
      </c>
      <c r="E234" s="13" t="s">
        <v>33</v>
      </c>
      <c r="F234" s="12">
        <v>3475.8899999999999</v>
      </c>
      <c r="G234" s="14">
        <v>1.4099999999999999</v>
      </c>
      <c r="H234" s="14">
        <v>1.6299999999999999</v>
      </c>
      <c r="I234" s="14">
        <v>5.9999999999999998e-002</v>
      </c>
      <c r="J234" s="14">
        <f t="shared" si="97"/>
        <v>1.6899999999999999</v>
      </c>
      <c r="K234" s="14">
        <f t="shared" si="99"/>
        <v>5665.6999999999998</v>
      </c>
      <c r="L234" s="14">
        <f t="shared" si="100"/>
        <v>208.55000000000018</v>
      </c>
      <c r="M234" s="14">
        <f t="shared" si="98"/>
        <v>5874.25</v>
      </c>
      <c r="N234" s="15">
        <f t="shared" si="101"/>
        <v>2.5300207958514043e-003</v>
      </c>
    </row>
    <row r="235" ht="26" customHeight="1">
      <c r="A235" s="11" t="s">
        <v>349</v>
      </c>
      <c r="B235" s="12" t="s">
        <v>40</v>
      </c>
      <c r="C235" s="11" t="s">
        <v>36</v>
      </c>
      <c r="D235" s="11" t="s">
        <v>41</v>
      </c>
      <c r="E235" s="13" t="s">
        <v>33</v>
      </c>
      <c r="F235" s="12">
        <v>664</v>
      </c>
      <c r="G235" s="14">
        <v>3.1400000000000001</v>
      </c>
      <c r="H235" s="14">
        <v>2.8500000000000001</v>
      </c>
      <c r="I235" s="14">
        <v>0.92000000000000004</v>
      </c>
      <c r="J235" s="14">
        <f t="shared" si="97"/>
        <v>3.77</v>
      </c>
      <c r="K235" s="14">
        <f t="shared" si="99"/>
        <v>1892.4000000000001</v>
      </c>
      <c r="L235" s="14">
        <f t="shared" si="100"/>
        <v>610.88000000000011</v>
      </c>
      <c r="M235" s="14">
        <f t="shared" si="98"/>
        <v>2503.2800000000002</v>
      </c>
      <c r="N235" s="15">
        <f t="shared" si="101"/>
        <v>1.0781547359814282e-003</v>
      </c>
    </row>
    <row r="236" ht="24" customHeight="1">
      <c r="A236" s="7" t="s">
        <v>350</v>
      </c>
      <c r="B236" s="7"/>
      <c r="C236" s="7"/>
      <c r="D236" s="7" t="s">
        <v>43</v>
      </c>
      <c r="E236" s="7"/>
      <c r="F236" s="8"/>
      <c r="G236" s="7"/>
      <c r="H236" s="7"/>
      <c r="I236" s="7"/>
      <c r="J236" s="7"/>
      <c r="K236" s="7"/>
      <c r="L236" s="7"/>
      <c r="M236" s="9">
        <v>287825.83000000002</v>
      </c>
      <c r="N236" s="10">
        <f t="shared" si="101"/>
        <v>0.12396566974221238</v>
      </c>
    </row>
    <row r="237" ht="24" customHeight="1">
      <c r="A237" s="11" t="s">
        <v>351</v>
      </c>
      <c r="B237" s="12" t="s">
        <v>45</v>
      </c>
      <c r="C237" s="11" t="s">
        <v>27</v>
      </c>
      <c r="D237" s="11" t="s">
        <v>46</v>
      </c>
      <c r="E237" s="13" t="s">
        <v>38</v>
      </c>
      <c r="F237" s="12">
        <v>50</v>
      </c>
      <c r="G237" s="14">
        <v>12.32</v>
      </c>
      <c r="H237" s="14">
        <v>11.25</v>
      </c>
      <c r="I237" s="14">
        <v>3.5699999999999998</v>
      </c>
      <c r="J237" s="14">
        <f t="shared" si="97"/>
        <v>14.82</v>
      </c>
      <c r="K237" s="14">
        <f t="shared" si="99"/>
        <v>562.5</v>
      </c>
      <c r="L237" s="14">
        <f t="shared" si="100"/>
        <v>178.5</v>
      </c>
      <c r="M237" s="14">
        <f t="shared" si="98"/>
        <v>741</v>
      </c>
      <c r="N237" s="15">
        <f t="shared" si="101"/>
        <v>3.1914634374190589e-004</v>
      </c>
    </row>
    <row r="238" ht="65" customHeight="1">
      <c r="A238" s="11" t="s">
        <v>352</v>
      </c>
      <c r="B238" s="12" t="s">
        <v>48</v>
      </c>
      <c r="C238" s="11" t="s">
        <v>27</v>
      </c>
      <c r="D238" s="11" t="s">
        <v>49</v>
      </c>
      <c r="E238" s="13" t="s">
        <v>38</v>
      </c>
      <c r="F238" s="12">
        <v>50</v>
      </c>
      <c r="G238" s="14">
        <v>55.740000000000002</v>
      </c>
      <c r="H238" s="14">
        <v>18.23</v>
      </c>
      <c r="I238" s="14">
        <v>48.840000000000003</v>
      </c>
      <c r="J238" s="14">
        <f t="shared" si="97"/>
        <v>67.069999999999993</v>
      </c>
      <c r="K238" s="14">
        <f t="shared" si="99"/>
        <v>911.5</v>
      </c>
      <c r="L238" s="14">
        <f t="shared" si="100"/>
        <v>2441.9899999999998</v>
      </c>
      <c r="M238" s="14">
        <f t="shared" si="98"/>
        <v>3353.4899999999998</v>
      </c>
      <c r="N238" s="15">
        <f t="shared" si="101"/>
        <v>1.4443374794535005e-003</v>
      </c>
    </row>
    <row r="239" ht="39" customHeight="1">
      <c r="A239" s="11" t="s">
        <v>353</v>
      </c>
      <c r="B239" s="12" t="s">
        <v>51</v>
      </c>
      <c r="C239" s="11" t="s">
        <v>27</v>
      </c>
      <c r="D239" s="11" t="s">
        <v>52</v>
      </c>
      <c r="E239" s="13" t="s">
        <v>33</v>
      </c>
      <c r="F239" s="12">
        <v>3475.8899999999999</v>
      </c>
      <c r="G239" s="14">
        <v>1.04</v>
      </c>
      <c r="H239" s="14">
        <v>0.42999999999999999</v>
      </c>
      <c r="I239" s="14">
        <v>0.81999999999999995</v>
      </c>
      <c r="J239" s="14">
        <f t="shared" si="97"/>
        <v>1.25</v>
      </c>
      <c r="K239" s="14">
        <f t="shared" si="99"/>
        <v>1494.6300000000001</v>
      </c>
      <c r="L239" s="14">
        <f t="shared" si="100"/>
        <v>2850.2299999999996</v>
      </c>
      <c r="M239" s="14">
        <f t="shared" si="98"/>
        <v>4344.8599999999997</v>
      </c>
      <c r="N239" s="15">
        <f t="shared" si="101"/>
        <v>1.871317386059996e-003</v>
      </c>
    </row>
    <row r="240" ht="24" customHeight="1">
      <c r="A240" s="16" t="s">
        <v>354</v>
      </c>
      <c r="B240" s="17" t="s">
        <v>54</v>
      </c>
      <c r="C240" s="16" t="s">
        <v>27</v>
      </c>
      <c r="D240" s="16" t="s">
        <v>55</v>
      </c>
      <c r="E240" s="18" t="s">
        <v>56</v>
      </c>
      <c r="F240" s="17">
        <v>1564.1500000000001</v>
      </c>
      <c r="G240" s="19">
        <v>3.2200000000000002</v>
      </c>
      <c r="H240" s="19">
        <v>0</v>
      </c>
      <c r="I240" s="19">
        <v>3.7000000000000002</v>
      </c>
      <c r="J240" s="19" t="str">
        <f t="shared" ref="J240:J242" si="102">TRUNC(G240 * (1 + 15.0 / 100), 2) &amp;CHAR(10)&amp; "(15.0%)"</f>
        <v xml:space="preserve">3.7
(15.0%)</v>
      </c>
      <c r="K240" s="19">
        <f t="shared" si="99"/>
        <v>0</v>
      </c>
      <c r="L240" s="19">
        <f t="shared" si="100"/>
        <v>5787.3500000000004</v>
      </c>
      <c r="M240" s="19">
        <f t="shared" ref="M240:M242" si="103">TRUNC(F240 * TRUNC(G240 * (1 + 15.0 / 100), 2), 2)</f>
        <v>5787.3500000000004</v>
      </c>
      <c r="N240" s="20">
        <f t="shared" si="101"/>
        <v>2.4925932421791079e-003</v>
      </c>
    </row>
    <row r="241" ht="39" customHeight="1">
      <c r="A241" s="11" t="s">
        <v>355</v>
      </c>
      <c r="B241" s="12" t="s">
        <v>58</v>
      </c>
      <c r="C241" s="11" t="s">
        <v>36</v>
      </c>
      <c r="D241" s="11" t="s">
        <v>59</v>
      </c>
      <c r="E241" s="13" t="s">
        <v>60</v>
      </c>
      <c r="F241" s="12">
        <v>46.920000000000002</v>
      </c>
      <c r="G241" s="14">
        <v>1.3799999999999999</v>
      </c>
      <c r="H241" s="14">
        <v>0.11</v>
      </c>
      <c r="I241" s="14">
        <v>1.47</v>
      </c>
      <c r="J241" s="14" t="str">
        <f t="shared" si="102"/>
        <v xml:space="preserve">1.58
(15.0%)</v>
      </c>
      <c r="K241" s="14">
        <f t="shared" si="99"/>
        <v>5.1600000000000001</v>
      </c>
      <c r="L241" s="14">
        <f t="shared" si="100"/>
        <v>68.969999999999999</v>
      </c>
      <c r="M241" s="14">
        <f t="shared" si="103"/>
        <v>74.129999999999995</v>
      </c>
      <c r="N241" s="15">
        <f t="shared" si="101"/>
        <v>3.192755527879552e-005</v>
      </c>
    </row>
    <row r="242" ht="52" customHeight="1">
      <c r="A242" s="11" t="s">
        <v>356</v>
      </c>
      <c r="B242" s="12" t="s">
        <v>62</v>
      </c>
      <c r="C242" s="11" t="s">
        <v>36</v>
      </c>
      <c r="D242" s="11" t="s">
        <v>63</v>
      </c>
      <c r="E242" s="13" t="s">
        <v>60</v>
      </c>
      <c r="F242" s="12">
        <v>258.07999999999998</v>
      </c>
      <c r="G242" s="14">
        <v>0.54000000000000004</v>
      </c>
      <c r="H242" s="14">
        <v>2.9999999999999999e-002</v>
      </c>
      <c r="I242" s="14">
        <v>0.58999999999999997</v>
      </c>
      <c r="J242" s="14" t="str">
        <f t="shared" si="102"/>
        <v xml:space="preserve">0.62
(15.0%)</v>
      </c>
      <c r="K242" s="14">
        <f t="shared" si="99"/>
        <v>7.7400000000000002</v>
      </c>
      <c r="L242" s="14">
        <f t="shared" si="100"/>
        <v>152.25999999999999</v>
      </c>
      <c r="M242" s="14">
        <f t="shared" si="103"/>
        <v>160</v>
      </c>
      <c r="N242" s="15">
        <f t="shared" si="101"/>
        <v>6.8911491226322455e-005</v>
      </c>
    </row>
    <row r="243" ht="26" customHeight="1">
      <c r="A243" s="11" t="s">
        <v>357</v>
      </c>
      <c r="B243" s="12" t="s">
        <v>65</v>
      </c>
      <c r="C243" s="11" t="s">
        <v>66</v>
      </c>
      <c r="D243" s="11" t="s">
        <v>67</v>
      </c>
      <c r="E243" s="13" t="s">
        <v>68</v>
      </c>
      <c r="F243" s="12">
        <v>333.69999999999999</v>
      </c>
      <c r="G243" s="14">
        <v>186.06999999999999</v>
      </c>
      <c r="H243" s="14">
        <v>3</v>
      </c>
      <c r="I243" s="14">
        <v>220.88999999999999</v>
      </c>
      <c r="J243" s="14">
        <f>TRUNC(G243 * (1 + 20.33 / 100), 2)</f>
        <v>223.88999999999999</v>
      </c>
      <c r="K243" s="14">
        <f t="shared" si="99"/>
        <v>1001.09</v>
      </c>
      <c r="L243" s="14">
        <f t="shared" si="100"/>
        <v>73711</v>
      </c>
      <c r="M243" s="14">
        <f>TRUNC(F243 * j243, 2)</f>
        <v>74712.089999999997</v>
      </c>
      <c r="N243" s="15">
        <f t="shared" si="101"/>
        <v>3.2178259590845082e-002</v>
      </c>
    </row>
    <row r="244" ht="26" customHeight="1">
      <c r="A244" s="16" t="s">
        <v>358</v>
      </c>
      <c r="B244" s="17" t="s">
        <v>70</v>
      </c>
      <c r="C244" s="16" t="s">
        <v>27</v>
      </c>
      <c r="D244" s="16" t="s">
        <v>71</v>
      </c>
      <c r="E244" s="18" t="s">
        <v>68</v>
      </c>
      <c r="F244" s="17">
        <v>19.190000000000001</v>
      </c>
      <c r="G244" s="19">
        <v>3771.0900000000001</v>
      </c>
      <c r="H244" s="19">
        <v>0</v>
      </c>
      <c r="I244" s="19">
        <v>4336.75</v>
      </c>
      <c r="J244" s="19" t="str">
        <f>TRUNC(G244 * (1 + 15.0 / 100), 2) &amp;CHAR(10)&amp; "(15.0%)"</f>
        <v xml:space="preserve">4336.75
(15.0%)</v>
      </c>
      <c r="K244" s="19">
        <f t="shared" si="99"/>
        <v>0</v>
      </c>
      <c r="L244" s="19">
        <f t="shared" si="100"/>
        <v>83222.229999999996</v>
      </c>
      <c r="M244" s="19">
        <f>TRUNC(F244 * TRUNC(G244 * (1 + 15.0 / 100), 2), 2)</f>
        <v>83222.229999999996</v>
      </c>
      <c r="N244" s="20">
        <f t="shared" si="101"/>
        <v>3.5843549827999935e-002</v>
      </c>
    </row>
    <row r="245" ht="39" customHeight="1">
      <c r="A245" s="11" t="s">
        <v>359</v>
      </c>
      <c r="B245" s="12" t="s">
        <v>73</v>
      </c>
      <c r="C245" s="11" t="s">
        <v>36</v>
      </c>
      <c r="D245" s="11" t="s">
        <v>74</v>
      </c>
      <c r="E245" s="13" t="s">
        <v>60</v>
      </c>
      <c r="F245" s="12">
        <v>6407.04</v>
      </c>
      <c r="G245" s="14">
        <v>1.6100000000000001</v>
      </c>
      <c r="H245" s="14">
        <v>0.19</v>
      </c>
      <c r="I245" s="14">
        <v>1.74</v>
      </c>
      <c r="J245" s="14">
        <f>TRUNC(G245 * (1 + 20.33 / 100), 2)</f>
        <v>1.9299999999999999</v>
      </c>
      <c r="K245" s="14">
        <f t="shared" si="99"/>
        <v>1217.3299999999999</v>
      </c>
      <c r="L245" s="14">
        <f t="shared" si="100"/>
        <v>11148.25</v>
      </c>
      <c r="M245" s="14">
        <f>TRUNC(F245 * j245, 2)</f>
        <v>12365.58</v>
      </c>
      <c r="N245" s="15">
        <f t="shared" si="101"/>
        <v>5.3258159854899277e-003</v>
      </c>
    </row>
    <row r="246" ht="39" customHeight="1">
      <c r="A246" s="11" t="s">
        <v>360</v>
      </c>
      <c r="B246" s="12" t="s">
        <v>58</v>
      </c>
      <c r="C246" s="11" t="s">
        <v>36</v>
      </c>
      <c r="D246" s="11" t="s">
        <v>59</v>
      </c>
      <c r="E246" s="13" t="s">
        <v>60</v>
      </c>
      <c r="F246" s="12">
        <v>575.70000000000005</v>
      </c>
      <c r="G246" s="14">
        <v>1.3799999999999999</v>
      </c>
      <c r="H246" s="14">
        <v>0.11</v>
      </c>
      <c r="I246" s="14">
        <v>1.47</v>
      </c>
      <c r="J246" s="14" t="str">
        <f t="shared" ref="J246:J247" si="104">TRUNC(G246 * (1 + 15.0 / 100), 2) &amp;CHAR(10)&amp; "(15.0%)"</f>
        <v xml:space="preserve">1.58
(15.0%)</v>
      </c>
      <c r="K246" s="14">
        <f t="shared" si="99"/>
        <v>63.32</v>
      </c>
      <c r="L246" s="14">
        <f t="shared" si="100"/>
        <v>846.27999999999997</v>
      </c>
      <c r="M246" s="14">
        <f t="shared" ref="M246:M247" si="105">TRUNC(F246 * TRUNC(G246 * (1 + 15.0 / 100), 2), 2)</f>
        <v>909.60000000000002</v>
      </c>
      <c r="N246" s="15">
        <f t="shared" si="101"/>
        <v>3.9176182762164317e-004</v>
      </c>
    </row>
    <row r="247" ht="52" customHeight="1">
      <c r="A247" s="11" t="s">
        <v>361</v>
      </c>
      <c r="B247" s="12" t="s">
        <v>62</v>
      </c>
      <c r="C247" s="11" t="s">
        <v>36</v>
      </c>
      <c r="D247" s="11" t="s">
        <v>63</v>
      </c>
      <c r="E247" s="13" t="s">
        <v>60</v>
      </c>
      <c r="F247" s="12">
        <v>7100.3000000000002</v>
      </c>
      <c r="G247" s="14">
        <v>0.54000000000000004</v>
      </c>
      <c r="H247" s="14">
        <v>2.9999999999999999e-002</v>
      </c>
      <c r="I247" s="14">
        <v>0.58999999999999997</v>
      </c>
      <c r="J247" s="14" t="str">
        <f t="shared" si="104"/>
        <v xml:space="preserve">0.62
(15.0%)</v>
      </c>
      <c r="K247" s="14">
        <f t="shared" si="99"/>
        <v>213</v>
      </c>
      <c r="L247" s="14">
        <f t="shared" si="100"/>
        <v>4189.1800000000003</v>
      </c>
      <c r="M247" s="14">
        <f t="shared" si="105"/>
        <v>4402.1800000000003</v>
      </c>
      <c r="N247" s="15">
        <f t="shared" si="101"/>
        <v>1.8960049277918264e-003</v>
      </c>
    </row>
    <row r="248" ht="39" customHeight="1">
      <c r="A248" s="11" t="s">
        <v>362</v>
      </c>
      <c r="B248" s="12" t="s">
        <v>51</v>
      </c>
      <c r="C248" s="11" t="s">
        <v>27</v>
      </c>
      <c r="D248" s="11" t="s">
        <v>52</v>
      </c>
      <c r="E248" s="13" t="s">
        <v>33</v>
      </c>
      <c r="F248" s="12">
        <v>2307.9499999999998</v>
      </c>
      <c r="G248" s="14">
        <v>1.04</v>
      </c>
      <c r="H248" s="14">
        <v>0.42999999999999999</v>
      </c>
      <c r="I248" s="14">
        <v>0.81999999999999995</v>
      </c>
      <c r="J248" s="14">
        <f>TRUNC(G248 * (1 + 20.33 / 100), 2)</f>
        <v>1.25</v>
      </c>
      <c r="K248" s="14">
        <f t="shared" si="99"/>
        <v>992.40999999999997</v>
      </c>
      <c r="L248" s="14">
        <f t="shared" si="100"/>
        <v>1892.52</v>
      </c>
      <c r="M248" s="14">
        <f>TRUNC(F248 * j248, 2)</f>
        <v>2884.9299999999998</v>
      </c>
      <c r="N248" s="15">
        <f t="shared" si="101"/>
        <v>1.2425301773972151e-003</v>
      </c>
    </row>
    <row r="249" ht="24" customHeight="1">
      <c r="A249" s="16" t="s">
        <v>363</v>
      </c>
      <c r="B249" s="17" t="s">
        <v>54</v>
      </c>
      <c r="C249" s="16" t="s">
        <v>27</v>
      </c>
      <c r="D249" s="16" t="s">
        <v>55</v>
      </c>
      <c r="E249" s="18" t="s">
        <v>56</v>
      </c>
      <c r="F249" s="17">
        <v>1038.5799999999999</v>
      </c>
      <c r="G249" s="19">
        <v>3.2200000000000002</v>
      </c>
      <c r="H249" s="19">
        <v>0</v>
      </c>
      <c r="I249" s="19">
        <v>3.7000000000000002</v>
      </c>
      <c r="J249" s="19" t="str">
        <f t="shared" ref="J249:J251" si="106">TRUNC(G249 * (1 + 15.0 / 100), 2) &amp;CHAR(10)&amp; "(15.0%)"</f>
        <v xml:space="preserve">3.7
(15.0%)</v>
      </c>
      <c r="K249" s="19">
        <f t="shared" si="99"/>
        <v>0</v>
      </c>
      <c r="L249" s="19">
        <f t="shared" si="100"/>
        <v>3842.7399999999998</v>
      </c>
      <c r="M249" s="19">
        <f t="shared" ref="M249:M251" si="107">TRUNC(F249 * TRUNC(G249 * (1 + 15.0 / 100), 2), 2)</f>
        <v>3842.7399999999998</v>
      </c>
      <c r="N249" s="20">
        <f t="shared" si="101"/>
        <v>1.6550558987189897e-003</v>
      </c>
    </row>
    <row r="250" ht="39" customHeight="1">
      <c r="A250" s="11" t="s">
        <v>364</v>
      </c>
      <c r="B250" s="12" t="s">
        <v>58</v>
      </c>
      <c r="C250" s="11" t="s">
        <v>36</v>
      </c>
      <c r="D250" s="11" t="s">
        <v>59</v>
      </c>
      <c r="E250" s="13" t="s">
        <v>60</v>
      </c>
      <c r="F250" s="12">
        <v>31.16</v>
      </c>
      <c r="G250" s="14">
        <v>1.3799999999999999</v>
      </c>
      <c r="H250" s="14">
        <v>0.11</v>
      </c>
      <c r="I250" s="14">
        <v>1.47</v>
      </c>
      <c r="J250" s="14" t="str">
        <f t="shared" si="106"/>
        <v xml:space="preserve">1.58
(15.0%)</v>
      </c>
      <c r="K250" s="14">
        <f t="shared" si="99"/>
        <v>3.4199999999999999</v>
      </c>
      <c r="L250" s="14">
        <f t="shared" si="100"/>
        <v>45.809999999999995</v>
      </c>
      <c r="M250" s="14">
        <f t="shared" si="107"/>
        <v>49.229999999999997</v>
      </c>
      <c r="N250" s="15">
        <f t="shared" si="101"/>
        <v>2.1203204456699089e-005</v>
      </c>
    </row>
    <row r="251" ht="52" customHeight="1">
      <c r="A251" s="11" t="s">
        <v>365</v>
      </c>
      <c r="B251" s="12" t="s">
        <v>62</v>
      </c>
      <c r="C251" s="11" t="s">
        <v>36</v>
      </c>
      <c r="D251" s="11" t="s">
        <v>63</v>
      </c>
      <c r="E251" s="13" t="s">
        <v>60</v>
      </c>
      <c r="F251" s="12">
        <v>171.37</v>
      </c>
      <c r="G251" s="14">
        <v>0.54000000000000004</v>
      </c>
      <c r="H251" s="14">
        <v>2.9999999999999999e-002</v>
      </c>
      <c r="I251" s="14">
        <v>0.58999999999999997</v>
      </c>
      <c r="J251" s="14" t="str">
        <f t="shared" si="106"/>
        <v xml:space="preserve">0.62
(15.0%)</v>
      </c>
      <c r="K251" s="14">
        <f t="shared" si="99"/>
        <v>5.1399999999999997</v>
      </c>
      <c r="L251" s="14">
        <f t="shared" si="100"/>
        <v>101.09999999999999</v>
      </c>
      <c r="M251" s="14">
        <f t="shared" si="107"/>
        <v>106.23999999999999</v>
      </c>
      <c r="N251" s="15">
        <f t="shared" si="101"/>
        <v>4.5757230174278111e-005</v>
      </c>
    </row>
    <row r="252" ht="26" customHeight="1">
      <c r="A252" s="11" t="s">
        <v>366</v>
      </c>
      <c r="B252" s="12" t="s">
        <v>65</v>
      </c>
      <c r="C252" s="11" t="s">
        <v>66</v>
      </c>
      <c r="D252" s="11" t="s">
        <v>67</v>
      </c>
      <c r="E252" s="13" t="s">
        <v>68</v>
      </c>
      <c r="F252" s="12">
        <v>176.56</v>
      </c>
      <c r="G252" s="14">
        <v>186.06999999999999</v>
      </c>
      <c r="H252" s="14">
        <v>3</v>
      </c>
      <c r="I252" s="14">
        <v>220.88999999999999</v>
      </c>
      <c r="J252" s="14">
        <f>TRUNC(G252 * (1 + 20.33 / 100), 2)</f>
        <v>223.88999999999999</v>
      </c>
      <c r="K252" s="14">
        <f t="shared" si="99"/>
        <v>529.67999999999995</v>
      </c>
      <c r="L252" s="14">
        <f t="shared" si="100"/>
        <v>39000.330000000002</v>
      </c>
      <c r="M252" s="14">
        <f>TRUNC(F252 * j252, 2)</f>
        <v>39530.010000000002</v>
      </c>
      <c r="N252" s="15">
        <f t="shared" si="101"/>
        <v>1.7025449608071494e-002</v>
      </c>
    </row>
    <row r="253" ht="26" customHeight="1">
      <c r="A253" s="16" t="s">
        <v>367</v>
      </c>
      <c r="B253" s="17" t="s">
        <v>70</v>
      </c>
      <c r="C253" s="16" t="s">
        <v>27</v>
      </c>
      <c r="D253" s="16" t="s">
        <v>71</v>
      </c>
      <c r="E253" s="18" t="s">
        <v>68</v>
      </c>
      <c r="F253" s="17">
        <v>9.7100000000000009</v>
      </c>
      <c r="G253" s="19">
        <v>3771.0900000000001</v>
      </c>
      <c r="H253" s="19">
        <v>0</v>
      </c>
      <c r="I253" s="19">
        <v>4336.75</v>
      </c>
      <c r="J253" s="19" t="str">
        <f>TRUNC(G253 * (1 + 15.0 / 100), 2) &amp;CHAR(10)&amp; "(15.0%)"</f>
        <v xml:space="preserve">4336.75
(15.0%)</v>
      </c>
      <c r="K253" s="19">
        <f t="shared" si="99"/>
        <v>0</v>
      </c>
      <c r="L253" s="19">
        <f t="shared" si="100"/>
        <v>42109.839999999997</v>
      </c>
      <c r="M253" s="19">
        <f>TRUNC(F253 * TRUNC(G253 * (1 + 15.0 / 100), 2), 2)</f>
        <v>42109.839999999997</v>
      </c>
      <c r="N253" s="20">
        <f t="shared" si="101"/>
        <v>1.8136574185636512e-002</v>
      </c>
    </row>
    <row r="254" ht="39" customHeight="1">
      <c r="A254" s="11" t="s">
        <v>368</v>
      </c>
      <c r="B254" s="12" t="s">
        <v>73</v>
      </c>
      <c r="C254" s="11" t="s">
        <v>36</v>
      </c>
      <c r="D254" s="11" t="s">
        <v>74</v>
      </c>
      <c r="E254" s="13" t="s">
        <v>60</v>
      </c>
      <c r="F254" s="12">
        <v>3389.9499999999998</v>
      </c>
      <c r="G254" s="14">
        <v>1.6100000000000001</v>
      </c>
      <c r="H254" s="14">
        <v>0.19</v>
      </c>
      <c r="I254" s="14">
        <v>1.74</v>
      </c>
      <c r="J254" s="14">
        <f>TRUNC(G254 * (1 + 20.33 / 100), 2)</f>
        <v>1.9299999999999999</v>
      </c>
      <c r="K254" s="14">
        <f t="shared" si="99"/>
        <v>644.09000000000003</v>
      </c>
      <c r="L254" s="14">
        <f t="shared" si="100"/>
        <v>5898.5100000000002</v>
      </c>
      <c r="M254" s="14">
        <f>TRUNC(F254 * j254, 2)</f>
        <v>6542.6000000000004</v>
      </c>
      <c r="N254" s="15">
        <f t="shared" si="101"/>
        <v>2.8178770156083582e-003</v>
      </c>
    </row>
    <row r="255" ht="39" customHeight="1">
      <c r="A255" s="11" t="s">
        <v>369</v>
      </c>
      <c r="B255" s="12" t="s">
        <v>58</v>
      </c>
      <c r="C255" s="11" t="s">
        <v>36</v>
      </c>
      <c r="D255" s="11" t="s">
        <v>59</v>
      </c>
      <c r="E255" s="13" t="s">
        <v>60</v>
      </c>
      <c r="F255" s="12">
        <v>291.30000000000001</v>
      </c>
      <c r="G255" s="14">
        <v>1.3799999999999999</v>
      </c>
      <c r="H255" s="14">
        <v>0.11</v>
      </c>
      <c r="I255" s="14">
        <v>1.47</v>
      </c>
      <c r="J255" s="14" t="str">
        <f t="shared" ref="J255:J256" si="108">TRUNC(G255 * (1 + 15.0 / 100), 2) &amp;CHAR(10)&amp; "(15.0%)"</f>
        <v xml:space="preserve">1.58
(15.0%)</v>
      </c>
      <c r="K255" s="14">
        <f t="shared" si="99"/>
        <v>32.039999999999999</v>
      </c>
      <c r="L255" s="14">
        <f t="shared" si="100"/>
        <v>428.20999999999998</v>
      </c>
      <c r="M255" s="14">
        <f t="shared" ref="M255:M256" si="109">TRUNC(F255 * TRUNC(G255 * (1 + 15.0 / 100), 2), 2)</f>
        <v>460.25</v>
      </c>
      <c r="N255" s="15">
        <f t="shared" si="101"/>
        <v>1.9822821148071819e-004</v>
      </c>
    </row>
    <row r="256" ht="52" customHeight="1">
      <c r="A256" s="11" t="s">
        <v>370</v>
      </c>
      <c r="B256" s="12" t="s">
        <v>62</v>
      </c>
      <c r="C256" s="11" t="s">
        <v>36</v>
      </c>
      <c r="D256" s="11" t="s">
        <v>63</v>
      </c>
      <c r="E256" s="13" t="s">
        <v>60</v>
      </c>
      <c r="F256" s="12">
        <v>3592.6999999999998</v>
      </c>
      <c r="G256" s="14">
        <v>0.54000000000000004</v>
      </c>
      <c r="H256" s="14">
        <v>2.9999999999999999e-002</v>
      </c>
      <c r="I256" s="14">
        <v>0.58999999999999997</v>
      </c>
      <c r="J256" s="14" t="str">
        <f t="shared" si="108"/>
        <v xml:space="preserve">0.62
(15.0%)</v>
      </c>
      <c r="K256" s="14">
        <f t="shared" si="99"/>
        <v>107.78</v>
      </c>
      <c r="L256" s="14">
        <f t="shared" si="100"/>
        <v>2119.6899999999996</v>
      </c>
      <c r="M256" s="14">
        <f t="shared" si="109"/>
        <v>2227.4699999999998</v>
      </c>
      <c r="N256" s="15">
        <f t="shared" si="101"/>
        <v>9.5936424601185291e-004</v>
      </c>
    </row>
    <row r="257" ht="24" customHeight="1">
      <c r="A257" s="7" t="s">
        <v>371</v>
      </c>
      <c r="B257" s="7"/>
      <c r="C257" s="7"/>
      <c r="D257" s="7" t="s">
        <v>87</v>
      </c>
      <c r="E257" s="7"/>
      <c r="F257" s="8"/>
      <c r="G257" s="7"/>
      <c r="H257" s="7"/>
      <c r="I257" s="7"/>
      <c r="J257" s="7"/>
      <c r="K257" s="7"/>
      <c r="L257" s="7"/>
      <c r="M257" s="9">
        <v>14243</v>
      </c>
      <c r="N257" s="10">
        <f t="shared" si="101"/>
        <v>6.1344148096031921e-003</v>
      </c>
    </row>
    <row r="258" ht="26" customHeight="1">
      <c r="A258" s="11" t="s">
        <v>372</v>
      </c>
      <c r="B258" s="12" t="s">
        <v>89</v>
      </c>
      <c r="C258" s="11" t="s">
        <v>27</v>
      </c>
      <c r="D258" s="11" t="s">
        <v>90</v>
      </c>
      <c r="E258" s="13" t="s">
        <v>38</v>
      </c>
      <c r="F258" s="12">
        <v>664</v>
      </c>
      <c r="G258" s="14">
        <v>2.6699999999999999</v>
      </c>
      <c r="H258" s="14">
        <v>1.24</v>
      </c>
      <c r="I258" s="14">
        <v>1.97</v>
      </c>
      <c r="J258" s="14">
        <f t="shared" ref="J258:J270" si="110">TRUNC(G258 * (1 + 20.33 / 100), 2)</f>
        <v>3.21</v>
      </c>
      <c r="K258" s="14">
        <f t="shared" si="99"/>
        <v>823.36000000000001</v>
      </c>
      <c r="L258" s="14">
        <f t="shared" si="100"/>
        <v>1308.0799999999999</v>
      </c>
      <c r="M258" s="14">
        <f t="shared" ref="M258:M270" si="111">TRUNC(F258 * j258, 2)</f>
        <v>2131.4400000000001</v>
      </c>
      <c r="N258" s="15">
        <f t="shared" si="101"/>
        <v>9.1800443037145466e-004</v>
      </c>
    </row>
    <row r="259" ht="52" customHeight="1">
      <c r="A259" s="11" t="s">
        <v>373</v>
      </c>
      <c r="B259" s="12" t="s">
        <v>92</v>
      </c>
      <c r="C259" s="11" t="s">
        <v>36</v>
      </c>
      <c r="D259" s="11" t="s">
        <v>93</v>
      </c>
      <c r="E259" s="13" t="s">
        <v>38</v>
      </c>
      <c r="F259" s="12">
        <v>332</v>
      </c>
      <c r="G259" s="14">
        <v>5.5099999999999998</v>
      </c>
      <c r="H259" s="14">
        <v>2.27</v>
      </c>
      <c r="I259" s="14">
        <v>4.3600000000000003</v>
      </c>
      <c r="J259" s="14">
        <f t="shared" si="110"/>
        <v>6.6299999999999999</v>
      </c>
      <c r="K259" s="14">
        <f t="shared" si="99"/>
        <v>753.63999999999999</v>
      </c>
      <c r="L259" s="14">
        <f t="shared" si="100"/>
        <v>1447.52</v>
      </c>
      <c r="M259" s="14">
        <f t="shared" si="111"/>
        <v>2201.1599999999999</v>
      </c>
      <c r="N259" s="15">
        <f t="shared" si="101"/>
        <v>9.4803261267332453e-004</v>
      </c>
    </row>
    <row r="260" ht="52" customHeight="1">
      <c r="A260" s="11" t="s">
        <v>374</v>
      </c>
      <c r="B260" s="12" t="s">
        <v>95</v>
      </c>
      <c r="C260" s="11" t="s">
        <v>36</v>
      </c>
      <c r="D260" s="11" t="s">
        <v>96</v>
      </c>
      <c r="E260" s="13" t="s">
        <v>33</v>
      </c>
      <c r="F260" s="12">
        <v>214</v>
      </c>
      <c r="G260" s="14">
        <v>23.170000000000002</v>
      </c>
      <c r="H260" s="14">
        <v>12.210000000000001</v>
      </c>
      <c r="I260" s="14">
        <v>15.67</v>
      </c>
      <c r="J260" s="14">
        <f t="shared" si="110"/>
        <v>27.879999999999999</v>
      </c>
      <c r="K260" s="14">
        <f t="shared" si="99"/>
        <v>2612.9400000000001</v>
      </c>
      <c r="L260" s="14">
        <f t="shared" si="100"/>
        <v>3353.3799999999997</v>
      </c>
      <c r="M260" s="14">
        <f t="shared" si="111"/>
        <v>5966.3199999999997</v>
      </c>
      <c r="N260" s="15">
        <f t="shared" si="101"/>
        <v>2.5696750520839513e-003</v>
      </c>
    </row>
    <row r="261" ht="65" customHeight="1">
      <c r="A261" s="11" t="s">
        <v>375</v>
      </c>
      <c r="B261" s="12" t="s">
        <v>284</v>
      </c>
      <c r="C261" s="11" t="s">
        <v>27</v>
      </c>
      <c r="D261" s="11" t="s">
        <v>285</v>
      </c>
      <c r="E261" s="13" t="s">
        <v>100</v>
      </c>
      <c r="F261" s="12">
        <v>7</v>
      </c>
      <c r="G261" s="14">
        <v>468.25</v>
      </c>
      <c r="H261" s="14">
        <v>16.079999999999998</v>
      </c>
      <c r="I261" s="14">
        <v>547.36000000000001</v>
      </c>
      <c r="J261" s="14">
        <f t="shared" si="110"/>
        <v>563.44000000000005</v>
      </c>
      <c r="K261" s="14">
        <f t="shared" si="99"/>
        <v>112.55</v>
      </c>
      <c r="L261" s="14">
        <f t="shared" si="100"/>
        <v>3831.5299999999997</v>
      </c>
      <c r="M261" s="14">
        <f t="shared" si="111"/>
        <v>3944.0799999999999</v>
      </c>
      <c r="N261" s="15">
        <f t="shared" si="101"/>
        <v>1.6987027144744616e-003</v>
      </c>
    </row>
    <row r="262" ht="26" customHeight="1">
      <c r="A262" s="7" t="s">
        <v>376</v>
      </c>
      <c r="B262" s="7"/>
      <c r="C262" s="7"/>
      <c r="D262" s="7" t="s">
        <v>377</v>
      </c>
      <c r="E262" s="7"/>
      <c r="F262" s="8"/>
      <c r="G262" s="7"/>
      <c r="H262" s="7"/>
      <c r="I262" s="7"/>
      <c r="J262" s="7"/>
      <c r="K262" s="7"/>
      <c r="L262" s="7"/>
      <c r="M262" s="9">
        <v>215669.22</v>
      </c>
      <c r="N262" s="10">
        <f t="shared" si="101"/>
        <v>9.2888047261361295e-002</v>
      </c>
    </row>
    <row r="263" ht="24" customHeight="1">
      <c r="A263" s="7" t="s">
        <v>378</v>
      </c>
      <c r="B263" s="7"/>
      <c r="C263" s="7"/>
      <c r="D263" s="7" t="s">
        <v>24</v>
      </c>
      <c r="E263" s="7"/>
      <c r="F263" s="8"/>
      <c r="G263" s="7"/>
      <c r="H263" s="7"/>
      <c r="I263" s="7"/>
      <c r="J263" s="7"/>
      <c r="K263" s="7"/>
      <c r="L263" s="7"/>
      <c r="M263" s="9">
        <v>6236.4899999999998</v>
      </c>
      <c r="N263" s="10">
        <f t="shared" si="101"/>
        <v>2.6860364119877982e-003</v>
      </c>
    </row>
    <row r="264" ht="24" customHeight="1">
      <c r="A264" s="11" t="s">
        <v>379</v>
      </c>
      <c r="B264" s="12" t="s">
        <v>35</v>
      </c>
      <c r="C264" s="11" t="s">
        <v>36</v>
      </c>
      <c r="D264" s="11" t="s">
        <v>37</v>
      </c>
      <c r="E264" s="13" t="s">
        <v>38</v>
      </c>
      <c r="F264" s="12">
        <v>217.43000000000001</v>
      </c>
      <c r="G264" s="14">
        <v>0.64000000000000001</v>
      </c>
      <c r="H264" s="14">
        <v>0.66000000000000003</v>
      </c>
      <c r="I264" s="14">
        <v>0.11</v>
      </c>
      <c r="J264" s="14">
        <f t="shared" si="110"/>
        <v>0.77000000000000002</v>
      </c>
      <c r="K264" s="14">
        <f t="shared" si="99"/>
        <v>143.5</v>
      </c>
      <c r="L264" s="14">
        <f t="shared" si="100"/>
        <v>23.919999999999987</v>
      </c>
      <c r="M264" s="14">
        <f t="shared" si="111"/>
        <v>167.41999999999999</v>
      </c>
      <c r="N264" s="15">
        <f t="shared" si="101"/>
        <v>7.2107261631943154e-005</v>
      </c>
    </row>
    <row r="265" ht="24" customHeight="1">
      <c r="A265" s="11" t="s">
        <v>380</v>
      </c>
      <c r="B265" s="12" t="s">
        <v>31</v>
      </c>
      <c r="C265" s="11" t="s">
        <v>27</v>
      </c>
      <c r="D265" s="11" t="s">
        <v>32</v>
      </c>
      <c r="E265" s="13" t="s">
        <v>33</v>
      </c>
      <c r="F265" s="12">
        <v>2621.0999999999999</v>
      </c>
      <c r="G265" s="14">
        <v>1.4099999999999999</v>
      </c>
      <c r="H265" s="14">
        <v>1.6299999999999999</v>
      </c>
      <c r="I265" s="14">
        <v>5.9999999999999998e-002</v>
      </c>
      <c r="J265" s="14">
        <f t="shared" si="110"/>
        <v>1.6899999999999999</v>
      </c>
      <c r="K265" s="14">
        <f t="shared" si="99"/>
        <v>4272.3900000000003</v>
      </c>
      <c r="L265" s="14">
        <f t="shared" si="100"/>
        <v>157.25999999999931</v>
      </c>
      <c r="M265" s="14">
        <f t="shared" si="111"/>
        <v>4429.6499999999996</v>
      </c>
      <c r="N265" s="15">
        <f t="shared" si="101"/>
        <v>1.9078361694417454e-003</v>
      </c>
    </row>
    <row r="266" ht="26" customHeight="1">
      <c r="A266" s="11" t="s">
        <v>381</v>
      </c>
      <c r="B266" s="12" t="s">
        <v>40</v>
      </c>
      <c r="C266" s="11" t="s">
        <v>36</v>
      </c>
      <c r="D266" s="11" t="s">
        <v>41</v>
      </c>
      <c r="E266" s="13" t="s">
        <v>33</v>
      </c>
      <c r="F266" s="12">
        <v>434.86000000000001</v>
      </c>
      <c r="G266" s="14">
        <v>3.1400000000000001</v>
      </c>
      <c r="H266" s="14">
        <v>2.8500000000000001</v>
      </c>
      <c r="I266" s="14">
        <v>0.92000000000000004</v>
      </c>
      <c r="J266" s="14">
        <f t="shared" si="110"/>
        <v>3.77</v>
      </c>
      <c r="K266" s="14">
        <f t="shared" si="99"/>
        <v>1239.3499999999999</v>
      </c>
      <c r="L266" s="14">
        <f t="shared" si="100"/>
        <v>400.07000000000016</v>
      </c>
      <c r="M266" s="14">
        <f t="shared" si="111"/>
        <v>1639.4200000000001</v>
      </c>
      <c r="N266" s="15">
        <f t="shared" si="101"/>
        <v>7.0609298091410977e-004</v>
      </c>
    </row>
    <row r="267" ht="24" customHeight="1">
      <c r="A267" s="7" t="s">
        <v>382</v>
      </c>
      <c r="B267" s="7"/>
      <c r="C267" s="7"/>
      <c r="D267" s="7" t="s">
        <v>43</v>
      </c>
      <c r="E267" s="7"/>
      <c r="F267" s="8"/>
      <c r="G267" s="7"/>
      <c r="H267" s="7"/>
      <c r="I267" s="7"/>
      <c r="J267" s="7"/>
      <c r="K267" s="7"/>
      <c r="L267" s="7"/>
      <c r="M267" s="9">
        <v>209432.73000000001</v>
      </c>
      <c r="N267" s="10">
        <f t="shared" si="101"/>
        <v>9.0202010849373501e-002</v>
      </c>
    </row>
    <row r="268" ht="24" customHeight="1">
      <c r="A268" s="11" t="s">
        <v>383</v>
      </c>
      <c r="B268" s="12" t="s">
        <v>45</v>
      </c>
      <c r="C268" s="11" t="s">
        <v>27</v>
      </c>
      <c r="D268" s="11" t="s">
        <v>46</v>
      </c>
      <c r="E268" s="13" t="s">
        <v>38</v>
      </c>
      <c r="F268" s="12">
        <v>45</v>
      </c>
      <c r="G268" s="14">
        <v>12.32</v>
      </c>
      <c r="H268" s="14">
        <v>11.25</v>
      </c>
      <c r="I268" s="14">
        <v>3.5699999999999998</v>
      </c>
      <c r="J268" s="14">
        <f t="shared" si="110"/>
        <v>14.82</v>
      </c>
      <c r="K268" s="14">
        <f t="shared" si="99"/>
        <v>506.25</v>
      </c>
      <c r="L268" s="14">
        <f t="shared" si="100"/>
        <v>160.64999999999998</v>
      </c>
      <c r="M268" s="14">
        <f t="shared" si="111"/>
        <v>666.89999999999998</v>
      </c>
      <c r="N268" s="15">
        <f t="shared" si="101"/>
        <v>2.8723170936771527e-004</v>
      </c>
    </row>
    <row r="269" ht="65" customHeight="1">
      <c r="A269" s="11" t="s">
        <v>384</v>
      </c>
      <c r="B269" s="12" t="s">
        <v>48</v>
      </c>
      <c r="C269" s="11" t="s">
        <v>27</v>
      </c>
      <c r="D269" s="11" t="s">
        <v>49</v>
      </c>
      <c r="E269" s="13" t="s">
        <v>38</v>
      </c>
      <c r="F269" s="12">
        <v>45</v>
      </c>
      <c r="G269" s="14">
        <v>55.740000000000002</v>
      </c>
      <c r="H269" s="14">
        <v>18.23</v>
      </c>
      <c r="I269" s="14">
        <v>48.840000000000003</v>
      </c>
      <c r="J269" s="14">
        <f t="shared" si="110"/>
        <v>67.069999999999993</v>
      </c>
      <c r="K269" s="14">
        <f t="shared" si="99"/>
        <v>820.35000000000002</v>
      </c>
      <c r="L269" s="14">
        <f t="shared" si="100"/>
        <v>2197.79</v>
      </c>
      <c r="M269" s="14">
        <f t="shared" si="111"/>
        <v>3018.1399999999999</v>
      </c>
      <c r="N269" s="15">
        <f t="shared" si="101"/>
        <v>1.2999033008113303e-003</v>
      </c>
    </row>
    <row r="270" ht="39" customHeight="1">
      <c r="A270" s="11" t="s">
        <v>385</v>
      </c>
      <c r="B270" s="12" t="s">
        <v>51</v>
      </c>
      <c r="C270" s="11" t="s">
        <v>27</v>
      </c>
      <c r="D270" s="11" t="s">
        <v>52</v>
      </c>
      <c r="E270" s="13" t="s">
        <v>33</v>
      </c>
      <c r="F270" s="12">
        <v>2621.0999999999999</v>
      </c>
      <c r="G270" s="14">
        <v>1.04</v>
      </c>
      <c r="H270" s="14">
        <v>0.42999999999999999</v>
      </c>
      <c r="I270" s="14">
        <v>0.81999999999999995</v>
      </c>
      <c r="J270" s="14">
        <f t="shared" si="110"/>
        <v>1.25</v>
      </c>
      <c r="K270" s="14">
        <f t="shared" si="99"/>
        <v>1127.0699999999999</v>
      </c>
      <c r="L270" s="14">
        <f t="shared" si="100"/>
        <v>2149.3000000000002</v>
      </c>
      <c r="M270" s="14">
        <f t="shared" si="111"/>
        <v>3276.3699999999999</v>
      </c>
      <c r="N270" s="15">
        <f t="shared" si="101"/>
        <v>1.4111221406824131e-003</v>
      </c>
    </row>
    <row r="271" ht="24" customHeight="1">
      <c r="A271" s="16" t="s">
        <v>386</v>
      </c>
      <c r="B271" s="17" t="s">
        <v>54</v>
      </c>
      <c r="C271" s="16" t="s">
        <v>27</v>
      </c>
      <c r="D271" s="16" t="s">
        <v>55</v>
      </c>
      <c r="E271" s="18" t="s">
        <v>56</v>
      </c>
      <c r="F271" s="17">
        <v>1179.5</v>
      </c>
      <c r="G271" s="19">
        <v>3.2200000000000002</v>
      </c>
      <c r="H271" s="19">
        <v>0</v>
      </c>
      <c r="I271" s="19">
        <v>3.7000000000000002</v>
      </c>
      <c r="J271" s="19" t="str">
        <f t="shared" ref="J271:J273" si="112">TRUNC(G271 * (1 + 15.0 / 100), 2) &amp;CHAR(10)&amp; "(15.0%)"</f>
        <v xml:space="preserve">3.7
(15.0%)</v>
      </c>
      <c r="K271" s="19">
        <f t="shared" si="99"/>
        <v>0</v>
      </c>
      <c r="L271" s="19">
        <f t="shared" si="100"/>
        <v>4364.1499999999996</v>
      </c>
      <c r="M271" s="19">
        <f t="shared" ref="M271:M273" si="113">TRUNC(F271 * TRUNC(G271 * (1 + 15.0 / 100), 2), 2)</f>
        <v>4364.1499999999996</v>
      </c>
      <c r="N271" s="20">
        <f t="shared" si="101"/>
        <v>1.8796255277209696e-003</v>
      </c>
    </row>
    <row r="272" ht="39" customHeight="1">
      <c r="A272" s="11" t="s">
        <v>387</v>
      </c>
      <c r="B272" s="12" t="s">
        <v>58</v>
      </c>
      <c r="C272" s="11" t="s">
        <v>36</v>
      </c>
      <c r="D272" s="11" t="s">
        <v>59</v>
      </c>
      <c r="E272" s="13" t="s">
        <v>60</v>
      </c>
      <c r="F272" s="12">
        <v>35.390000000000001</v>
      </c>
      <c r="G272" s="14">
        <v>1.3799999999999999</v>
      </c>
      <c r="H272" s="14">
        <v>0.11</v>
      </c>
      <c r="I272" s="14">
        <v>1.47</v>
      </c>
      <c r="J272" s="14" t="str">
        <f t="shared" si="112"/>
        <v xml:space="preserve">1.58
(15.0%)</v>
      </c>
      <c r="K272" s="14">
        <f t="shared" si="99"/>
        <v>3.8900000000000001</v>
      </c>
      <c r="L272" s="14">
        <f t="shared" si="100"/>
        <v>52.019999999999996</v>
      </c>
      <c r="M272" s="14">
        <f t="shared" si="113"/>
        <v>55.909999999999997</v>
      </c>
      <c r="N272" s="15">
        <f t="shared" si="101"/>
        <v>2.4080259215398051e-005</v>
      </c>
    </row>
    <row r="273" ht="52" customHeight="1">
      <c r="A273" s="11" t="s">
        <v>388</v>
      </c>
      <c r="B273" s="12" t="s">
        <v>62</v>
      </c>
      <c r="C273" s="11" t="s">
        <v>36</v>
      </c>
      <c r="D273" s="11" t="s">
        <v>63</v>
      </c>
      <c r="E273" s="13" t="s">
        <v>60</v>
      </c>
      <c r="F273" s="12">
        <v>194.62</v>
      </c>
      <c r="G273" s="14">
        <v>0.54000000000000004</v>
      </c>
      <c r="H273" s="14">
        <v>2.9999999999999999e-002</v>
      </c>
      <c r="I273" s="14">
        <v>0.58999999999999997</v>
      </c>
      <c r="J273" s="14" t="str">
        <f t="shared" si="112"/>
        <v xml:space="preserve">0.62
(15.0%)</v>
      </c>
      <c r="K273" s="14">
        <f t="shared" si="99"/>
        <v>5.8300000000000001</v>
      </c>
      <c r="L273" s="14">
        <f t="shared" si="100"/>
        <v>114.83</v>
      </c>
      <c r="M273" s="14">
        <f t="shared" si="113"/>
        <v>120.66</v>
      </c>
      <c r="N273" s="15">
        <f t="shared" si="101"/>
        <v>5.1967878321050424e-005</v>
      </c>
    </row>
    <row r="274" ht="26" customHeight="1">
      <c r="A274" s="11" t="s">
        <v>389</v>
      </c>
      <c r="B274" s="12" t="s">
        <v>65</v>
      </c>
      <c r="C274" s="11" t="s">
        <v>66</v>
      </c>
      <c r="D274" s="11" t="s">
        <v>67</v>
      </c>
      <c r="E274" s="13" t="s">
        <v>68</v>
      </c>
      <c r="F274" s="12">
        <v>251.62</v>
      </c>
      <c r="G274" s="14">
        <v>186.06999999999999</v>
      </c>
      <c r="H274" s="14">
        <v>3</v>
      </c>
      <c r="I274" s="14">
        <v>220.88999999999999</v>
      </c>
      <c r="J274" s="14">
        <f>TRUNC(G274 * (1 + 20.33 / 100), 2)</f>
        <v>223.88999999999999</v>
      </c>
      <c r="K274" s="14">
        <f t="shared" si="99"/>
        <v>754.86000000000001</v>
      </c>
      <c r="L274" s="14">
        <f t="shared" si="100"/>
        <v>55580.339999999997</v>
      </c>
      <c r="M274" s="14">
        <f>TRUNC(F274 * j274, 2)</f>
        <v>56335.199999999997</v>
      </c>
      <c r="N274" s="15">
        <f t="shared" si="101"/>
        <v>2.4263391503332003e-002</v>
      </c>
    </row>
    <row r="275" ht="26" customHeight="1">
      <c r="A275" s="16" t="s">
        <v>390</v>
      </c>
      <c r="B275" s="17" t="s">
        <v>70</v>
      </c>
      <c r="C275" s="16" t="s">
        <v>27</v>
      </c>
      <c r="D275" s="16" t="s">
        <v>71</v>
      </c>
      <c r="E275" s="18" t="s">
        <v>68</v>
      </c>
      <c r="F275" s="17">
        <v>14.470000000000001</v>
      </c>
      <c r="G275" s="19">
        <v>3771.0900000000001</v>
      </c>
      <c r="H275" s="19">
        <v>0</v>
      </c>
      <c r="I275" s="19">
        <v>4336.75</v>
      </c>
      <c r="J275" s="19" t="str">
        <f>TRUNC(G275 * (1 + 15.0 / 100), 2) &amp;CHAR(10)&amp; "(15.0%)"</f>
        <v xml:space="preserve">4336.75
(15.0%)</v>
      </c>
      <c r="K275" s="19">
        <f t="shared" si="99"/>
        <v>0</v>
      </c>
      <c r="L275" s="19">
        <f t="shared" si="100"/>
        <v>62752.769999999997</v>
      </c>
      <c r="M275" s="19">
        <f>TRUNC(F275 * TRUNC(G275 * (1 + 15.0 / 100), 2), 2)</f>
        <v>62752.769999999997</v>
      </c>
      <c r="N275" s="20">
        <f t="shared" si="101"/>
        <v>2.7027418495515192e-002</v>
      </c>
    </row>
    <row r="276" ht="39" customHeight="1">
      <c r="A276" s="11" t="s">
        <v>391</v>
      </c>
      <c r="B276" s="12" t="s">
        <v>73</v>
      </c>
      <c r="C276" s="11" t="s">
        <v>36</v>
      </c>
      <c r="D276" s="11" t="s">
        <v>74</v>
      </c>
      <c r="E276" s="13" t="s">
        <v>60</v>
      </c>
      <c r="F276" s="12">
        <v>5208.5299999999997</v>
      </c>
      <c r="G276" s="14">
        <v>1.6100000000000001</v>
      </c>
      <c r="H276" s="14">
        <v>0.19</v>
      </c>
      <c r="I276" s="14">
        <v>1.74</v>
      </c>
      <c r="J276" s="14">
        <f>TRUNC(G276 * (1 + 20.33 / 100), 2)</f>
        <v>1.9299999999999999</v>
      </c>
      <c r="K276" s="14">
        <f t="shared" si="99"/>
        <v>989.62</v>
      </c>
      <c r="L276" s="14">
        <f t="shared" si="100"/>
        <v>9062.8399999999983</v>
      </c>
      <c r="M276" s="14">
        <f>TRUNC(F276 * j276, 2)</f>
        <v>10052.459999999999</v>
      </c>
      <c r="N276" s="15">
        <f t="shared" si="101"/>
        <v>4.3295625568309836e-003</v>
      </c>
    </row>
    <row r="277" ht="39" customHeight="1">
      <c r="A277" s="11" t="s">
        <v>392</v>
      </c>
      <c r="B277" s="12" t="s">
        <v>58</v>
      </c>
      <c r="C277" s="11" t="s">
        <v>36</v>
      </c>
      <c r="D277" s="11" t="s">
        <v>59</v>
      </c>
      <c r="E277" s="13" t="s">
        <v>60</v>
      </c>
      <c r="F277" s="12">
        <v>434.10000000000002</v>
      </c>
      <c r="G277" s="14">
        <v>1.3799999999999999</v>
      </c>
      <c r="H277" s="14">
        <v>0.11</v>
      </c>
      <c r="I277" s="14">
        <v>1.47</v>
      </c>
      <c r="J277" s="14" t="str">
        <f t="shared" ref="J277:J278" si="114">TRUNC(G277 * (1 + 15.0 / 100), 2) &amp;CHAR(10)&amp; "(15.0%)"</f>
        <v xml:space="preserve">1.58
(15.0%)</v>
      </c>
      <c r="K277" s="14">
        <f t="shared" si="99"/>
        <v>47.75</v>
      </c>
      <c r="L277" s="14">
        <f t="shared" si="100"/>
        <v>638.12</v>
      </c>
      <c r="M277" s="14">
        <f t="shared" ref="M277:M278" si="115">TRUNC(F277 * TRUNC(G277 * (1 + 15.0 / 100), 2), 2)</f>
        <v>685.87</v>
      </c>
      <c r="N277" s="15">
        <f t="shared" si="101"/>
        <v>2.9540202804623613e-004</v>
      </c>
    </row>
    <row r="278" ht="52" customHeight="1">
      <c r="A278" s="11" t="s">
        <v>393</v>
      </c>
      <c r="B278" s="12" t="s">
        <v>62</v>
      </c>
      <c r="C278" s="11" t="s">
        <v>36</v>
      </c>
      <c r="D278" s="11" t="s">
        <v>63</v>
      </c>
      <c r="E278" s="13" t="s">
        <v>60</v>
      </c>
      <c r="F278" s="12">
        <v>5353.8999999999996</v>
      </c>
      <c r="G278" s="14">
        <v>0.54000000000000004</v>
      </c>
      <c r="H278" s="14">
        <v>2.9999999999999999e-002</v>
      </c>
      <c r="I278" s="14">
        <v>0.58999999999999997</v>
      </c>
      <c r="J278" s="14" t="str">
        <f t="shared" si="114"/>
        <v xml:space="preserve">0.62
(15.0%)</v>
      </c>
      <c r="K278" s="14">
        <f t="shared" si="99"/>
        <v>160.61000000000001</v>
      </c>
      <c r="L278" s="14">
        <f t="shared" si="100"/>
        <v>3158.7999999999997</v>
      </c>
      <c r="M278" s="14">
        <f t="shared" si="115"/>
        <v>3319.4099999999999</v>
      </c>
      <c r="N278" s="15">
        <f t="shared" si="101"/>
        <v>1.4296593318222938e-003</v>
      </c>
    </row>
    <row r="279" ht="39" customHeight="1">
      <c r="A279" s="11" t="s">
        <v>394</v>
      </c>
      <c r="B279" s="12" t="s">
        <v>51</v>
      </c>
      <c r="C279" s="11" t="s">
        <v>27</v>
      </c>
      <c r="D279" s="11" t="s">
        <v>52</v>
      </c>
      <c r="E279" s="13" t="s">
        <v>33</v>
      </c>
      <c r="F279" s="12">
        <v>1522.01</v>
      </c>
      <c r="G279" s="14">
        <v>1.04</v>
      </c>
      <c r="H279" s="14">
        <v>0.42999999999999999</v>
      </c>
      <c r="I279" s="14">
        <v>0.81999999999999995</v>
      </c>
      <c r="J279" s="14">
        <f>TRUNC(G279 * (1 + 20.33 / 100), 2)</f>
        <v>1.25</v>
      </c>
      <c r="K279" s="14">
        <f t="shared" si="99"/>
        <v>654.46000000000004</v>
      </c>
      <c r="L279" s="14">
        <f t="shared" si="100"/>
        <v>1248.05</v>
      </c>
      <c r="M279" s="14">
        <f>TRUNC(F279 * j279, 2)</f>
        <v>1902.51</v>
      </c>
      <c r="N279" s="15">
        <f t="shared" si="101"/>
        <v>8.1940500733119212e-004</v>
      </c>
    </row>
    <row r="280" ht="24" customHeight="1">
      <c r="A280" s="16" t="s">
        <v>395</v>
      </c>
      <c r="B280" s="17" t="s">
        <v>54</v>
      </c>
      <c r="C280" s="16" t="s">
        <v>27</v>
      </c>
      <c r="D280" s="16" t="s">
        <v>55</v>
      </c>
      <c r="E280" s="18" t="s">
        <v>56</v>
      </c>
      <c r="F280" s="17">
        <v>684.89999999999998</v>
      </c>
      <c r="G280" s="19">
        <v>3.2200000000000002</v>
      </c>
      <c r="H280" s="19">
        <v>0</v>
      </c>
      <c r="I280" s="19">
        <v>3.7000000000000002</v>
      </c>
      <c r="J280" s="19" t="str">
        <f t="shared" ref="J280:J282" si="116">TRUNC(G280 * (1 + 15.0 / 100), 2) &amp;CHAR(10)&amp; "(15.0%)"</f>
        <v xml:space="preserve">3.7
(15.0%)</v>
      </c>
      <c r="K280" s="19">
        <f t="shared" si="99"/>
        <v>0</v>
      </c>
      <c r="L280" s="19">
        <f t="shared" si="100"/>
        <v>2534.1300000000001</v>
      </c>
      <c r="M280" s="19">
        <f t="shared" ref="M280:M282" si="117">TRUNC(F280 * TRUNC(G280 * (1 + 15.0 / 100), 2), 2)</f>
        <v>2534.1300000000001</v>
      </c>
      <c r="N280" s="20">
        <f t="shared" si="101"/>
        <v>1.0914417328835033e-003</v>
      </c>
    </row>
    <row r="281" ht="39" customHeight="1">
      <c r="A281" s="11" t="s">
        <v>396</v>
      </c>
      <c r="B281" s="12" t="s">
        <v>58</v>
      </c>
      <c r="C281" s="11" t="s">
        <v>36</v>
      </c>
      <c r="D281" s="11" t="s">
        <v>59</v>
      </c>
      <c r="E281" s="13" t="s">
        <v>60</v>
      </c>
      <c r="F281" s="12">
        <v>20.550000000000001</v>
      </c>
      <c r="G281" s="14">
        <v>1.3799999999999999</v>
      </c>
      <c r="H281" s="14">
        <v>0.11</v>
      </c>
      <c r="I281" s="14">
        <v>1.47</v>
      </c>
      <c r="J281" s="14" t="str">
        <f t="shared" si="116"/>
        <v xml:space="preserve">1.58
(15.0%)</v>
      </c>
      <c r="K281" s="14">
        <f t="shared" si="99"/>
        <v>2.2599999999999998</v>
      </c>
      <c r="L281" s="14">
        <f t="shared" si="100"/>
        <v>30.200000000000003</v>
      </c>
      <c r="M281" s="14">
        <f t="shared" si="117"/>
        <v>32.460000000000001</v>
      </c>
      <c r="N281" s="15">
        <f t="shared" si="101"/>
        <v>1.3980418782540169e-005</v>
      </c>
    </row>
    <row r="282" ht="52" customHeight="1">
      <c r="A282" s="11" t="s">
        <v>397</v>
      </c>
      <c r="B282" s="12" t="s">
        <v>62</v>
      </c>
      <c r="C282" s="11" t="s">
        <v>36</v>
      </c>
      <c r="D282" s="11" t="s">
        <v>63</v>
      </c>
      <c r="E282" s="13" t="s">
        <v>60</v>
      </c>
      <c r="F282" s="12">
        <v>113.01000000000001</v>
      </c>
      <c r="G282" s="14">
        <v>0.54000000000000004</v>
      </c>
      <c r="H282" s="14">
        <v>2.9999999999999999e-002</v>
      </c>
      <c r="I282" s="14">
        <v>0.58999999999999997</v>
      </c>
      <c r="J282" s="14" t="str">
        <f t="shared" si="116"/>
        <v xml:space="preserve">0.62
(15.0%)</v>
      </c>
      <c r="K282" s="14">
        <f t="shared" si="99"/>
        <v>3.3900000000000001</v>
      </c>
      <c r="L282" s="14">
        <f t="shared" si="100"/>
        <v>66.670000000000002</v>
      </c>
      <c r="M282" s="14">
        <f t="shared" si="117"/>
        <v>70.060000000000002</v>
      </c>
      <c r="N282" s="15">
        <f t="shared" si="101"/>
        <v>3.0174619220725947e-005</v>
      </c>
    </row>
    <row r="283" ht="26" customHeight="1">
      <c r="A283" s="11" t="s">
        <v>398</v>
      </c>
      <c r="B283" s="12" t="s">
        <v>65</v>
      </c>
      <c r="C283" s="11" t="s">
        <v>66</v>
      </c>
      <c r="D283" s="11" t="s">
        <v>67</v>
      </c>
      <c r="E283" s="13" t="s">
        <v>68</v>
      </c>
      <c r="F283" s="12">
        <v>116.43000000000001</v>
      </c>
      <c r="G283" s="14">
        <v>186.06999999999999</v>
      </c>
      <c r="H283" s="14">
        <v>3</v>
      </c>
      <c r="I283" s="14">
        <v>220.88999999999999</v>
      </c>
      <c r="J283" s="14">
        <f>TRUNC(G283 * (1 + 20.33 / 100), 2)</f>
        <v>223.88999999999999</v>
      </c>
      <c r="K283" s="14">
        <f t="shared" si="99"/>
        <v>349.29000000000002</v>
      </c>
      <c r="L283" s="14">
        <f t="shared" si="100"/>
        <v>25718.219999999998</v>
      </c>
      <c r="M283" s="14">
        <f>TRUNC(F283 * j283, 2)</f>
        <v>26067.509999999998</v>
      </c>
      <c r="N283" s="15">
        <f t="shared" si="101"/>
        <v>1.1227193666606705e-002</v>
      </c>
    </row>
    <row r="284" ht="26" customHeight="1">
      <c r="A284" s="16" t="s">
        <v>399</v>
      </c>
      <c r="B284" s="17" t="s">
        <v>70</v>
      </c>
      <c r="C284" s="16" t="s">
        <v>27</v>
      </c>
      <c r="D284" s="16" t="s">
        <v>71</v>
      </c>
      <c r="E284" s="18" t="s">
        <v>68</v>
      </c>
      <c r="F284" s="17">
        <v>6.4000000000000004</v>
      </c>
      <c r="G284" s="19">
        <v>3771.0900000000001</v>
      </c>
      <c r="H284" s="19">
        <v>0</v>
      </c>
      <c r="I284" s="19">
        <v>4336.75</v>
      </c>
      <c r="J284" s="19" t="str">
        <f>TRUNC(G284 * (1 + 15.0 / 100), 2) &amp;CHAR(10)&amp; "(15.0%)"</f>
        <v xml:space="preserve">4336.75
(15.0%)</v>
      </c>
      <c r="K284" s="19">
        <f t="shared" si="99"/>
        <v>0</v>
      </c>
      <c r="L284" s="19">
        <f t="shared" si="100"/>
        <v>27755.200000000001</v>
      </c>
      <c r="M284" s="19">
        <f>TRUNC(F284 * TRUNC(G284 * (1 + 15.0 / 100), 2), 2)</f>
        <v>27755.200000000001</v>
      </c>
      <c r="N284" s="20">
        <f t="shared" si="101"/>
        <v>1.1954076383030157e-002</v>
      </c>
    </row>
    <row r="285" ht="39" customHeight="1">
      <c r="A285" s="11" t="s">
        <v>400</v>
      </c>
      <c r="B285" s="12" t="s">
        <v>73</v>
      </c>
      <c r="C285" s="11" t="s">
        <v>36</v>
      </c>
      <c r="D285" s="11" t="s">
        <v>74</v>
      </c>
      <c r="E285" s="13" t="s">
        <v>60</v>
      </c>
      <c r="F285" s="12">
        <v>2410.0999999999999</v>
      </c>
      <c r="G285" s="14">
        <v>1.6100000000000001</v>
      </c>
      <c r="H285" s="14">
        <v>0.19</v>
      </c>
      <c r="I285" s="14">
        <v>1.74</v>
      </c>
      <c r="J285" s="14">
        <f>TRUNC(G285 * (1 + 20.33 / 100), 2)</f>
        <v>1.9299999999999999</v>
      </c>
      <c r="K285" s="14">
        <f t="shared" si="99"/>
        <v>457.91000000000003</v>
      </c>
      <c r="L285" s="14">
        <f t="shared" si="100"/>
        <v>4193.5799999999999</v>
      </c>
      <c r="M285" s="14">
        <f>TRUNC(F285 * j285, 2)</f>
        <v>4651.4899999999998</v>
      </c>
      <c r="N285" s="15">
        <f t="shared" si="101"/>
        <v>2.0033819520270412e-003</v>
      </c>
    </row>
    <row r="286" ht="39" customHeight="1">
      <c r="A286" s="11" t="s">
        <v>401</v>
      </c>
      <c r="B286" s="12" t="s">
        <v>58</v>
      </c>
      <c r="C286" s="11" t="s">
        <v>36</v>
      </c>
      <c r="D286" s="11" t="s">
        <v>59</v>
      </c>
      <c r="E286" s="13" t="s">
        <v>60</v>
      </c>
      <c r="F286" s="12">
        <v>192</v>
      </c>
      <c r="G286" s="14">
        <v>1.3799999999999999</v>
      </c>
      <c r="H286" s="14">
        <v>0.11</v>
      </c>
      <c r="I286" s="14">
        <v>1.47</v>
      </c>
      <c r="J286" s="14" t="str">
        <f t="shared" ref="J286:J287" si="118">TRUNC(G286 * (1 + 15.0 / 100), 2) &amp;CHAR(10)&amp; "(15.0%)"</f>
        <v xml:space="preserve">1.58
(15.0%)</v>
      </c>
      <c r="K286" s="14">
        <f t="shared" si="99"/>
        <v>21.120000000000001</v>
      </c>
      <c r="L286" s="14">
        <f t="shared" si="100"/>
        <v>282.24000000000001</v>
      </c>
      <c r="M286" s="14">
        <f t="shared" ref="M286:M287" si="119">TRUNC(F286 * TRUNC(G286 * (1 + 15.0 / 100), 2), 2)</f>
        <v>303.36000000000001</v>
      </c>
      <c r="N286" s="15">
        <f t="shared" si="101"/>
        <v>1.3065618736510739e-004</v>
      </c>
    </row>
    <row r="287" ht="52" customHeight="1">
      <c r="A287" s="11" t="s">
        <v>402</v>
      </c>
      <c r="B287" s="12" t="s">
        <v>62</v>
      </c>
      <c r="C287" s="11" t="s">
        <v>36</v>
      </c>
      <c r="D287" s="11" t="s">
        <v>63</v>
      </c>
      <c r="E287" s="13" t="s">
        <v>60</v>
      </c>
      <c r="F287" s="12">
        <v>2368</v>
      </c>
      <c r="G287" s="14">
        <v>0.54000000000000004</v>
      </c>
      <c r="H287" s="14">
        <v>2.9999999999999999e-002</v>
      </c>
      <c r="I287" s="14">
        <v>0.58999999999999997</v>
      </c>
      <c r="J287" s="14" t="str">
        <f t="shared" si="118"/>
        <v xml:space="preserve">0.62
(15.0%)</v>
      </c>
      <c r="K287" s="14">
        <f t="shared" si="99"/>
        <v>71.030000000000001</v>
      </c>
      <c r="L287" s="14">
        <f t="shared" si="100"/>
        <v>1397.1300000000001</v>
      </c>
      <c r="M287" s="14">
        <f t="shared" si="119"/>
        <v>1468.1600000000001</v>
      </c>
      <c r="N287" s="15">
        <f t="shared" si="101"/>
        <v>6.3233184349273494e-004</v>
      </c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 t="s">
        <v>403</v>
      </c>
      <c r="K288" s="21" t="s">
        <v>404</v>
      </c>
      <c r="L288" s="21" t="s">
        <v>405</v>
      </c>
      <c r="M288" s="21" t="s">
        <v>406</v>
      </c>
      <c r="N288" s="21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>
      <c r="A290" s="21"/>
      <c r="B290" s="21"/>
      <c r="C290" s="21"/>
      <c r="D290" s="23"/>
      <c r="E290" s="21"/>
      <c r="F290" s="21"/>
      <c r="G290" s="21"/>
      <c r="H290" s="21"/>
      <c r="I290" s="21"/>
      <c r="J290" s="2" t="s">
        <v>407</v>
      </c>
      <c r="K290" s="21"/>
      <c r="L290" s="24">
        <v>1970392.3400000001</v>
      </c>
      <c r="M290" s="21"/>
      <c r="N290" s="21"/>
    </row>
    <row r="291">
      <c r="A291" s="21"/>
      <c r="B291" s="21"/>
      <c r="C291" s="21"/>
      <c r="D291" s="23"/>
      <c r="E291" s="21"/>
      <c r="F291" s="21"/>
      <c r="G291" s="21"/>
      <c r="H291" s="21"/>
      <c r="I291" s="21"/>
      <c r="J291" s="2" t="s">
        <v>408</v>
      </c>
      <c r="K291" s="21"/>
      <c r="L291" s="24">
        <v>351426.52000000002</v>
      </c>
      <c r="M291" s="21"/>
      <c r="N291" s="21"/>
    </row>
    <row r="292">
      <c r="A292" s="21"/>
      <c r="B292" s="21"/>
      <c r="C292" s="21"/>
      <c r="D292" s="23"/>
      <c r="E292" s="21"/>
      <c r="F292" s="21"/>
      <c r="G292" s="21"/>
      <c r="H292" s="21"/>
      <c r="I292" s="21"/>
      <c r="J292" s="2" t="s">
        <v>409</v>
      </c>
      <c r="K292" s="21"/>
      <c r="L292" s="24">
        <v>2321818.8599999999</v>
      </c>
      <c r="M292" s="21"/>
      <c r="N292" s="21"/>
    </row>
    <row r="293" ht="60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ht="70" customHeight="1">
      <c r="A294" s="22" t="s">
        <v>410</v>
      </c>
    </row>
    <row r="295" ht="60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ht="70" customHeight="1">
      <c r="A296" s="22" t="s">
        <v>411</v>
      </c>
    </row>
  </sheetData>
  <mergeCells count="28">
    <mergeCell ref="E1:G1"/>
    <mergeCell ref="H1:J1"/>
    <mergeCell ref="K1:N1"/>
    <mergeCell ref="E2:G2"/>
    <mergeCell ref="H2:J2"/>
    <mergeCell ref="K2:N2"/>
    <mergeCell ref="A3:N3"/>
    <mergeCell ref="A4:A5"/>
    <mergeCell ref="B4:B5"/>
    <mergeCell ref="C4:C5"/>
    <mergeCell ref="D4:D5"/>
    <mergeCell ref="E4:E5"/>
    <mergeCell ref="F4:F5"/>
    <mergeCell ref="G4:G5"/>
    <mergeCell ref="H4:J4"/>
    <mergeCell ref="K4:M4"/>
    <mergeCell ref="N4:N5"/>
    <mergeCell ref="A290:C290"/>
    <mergeCell ref="J290:K290"/>
    <mergeCell ref="L290:N290"/>
    <mergeCell ref="A291:C291"/>
    <mergeCell ref="J291:K291"/>
    <mergeCell ref="L291:N291"/>
    <mergeCell ref="A292:C292"/>
    <mergeCell ref="J292:K292"/>
    <mergeCell ref="L292:N292"/>
    <mergeCell ref="A294:N294"/>
    <mergeCell ref="A296:N296"/>
  </mergeCells>
  <printOptions headings="0" gridLines="0"/>
  <pageMargins left="0.5" right="0.5" top="0.47244094488188981" bottom="0.47244094488188981" header="0.5" footer="0.5"/>
  <pageSetup paperSize="9" scale="66" firstPageNumber="1" fitToWidth="1" fitToHeight="0" pageOrder="downThenOver" orientation="landscape" usePrinterDefaults="1" blackAndWhite="0" draft="0" cellComments="none" useFirstPageNumber="1" errors="displayed" horizontalDpi="600" verticalDpi="600" copies="1"/>
  <headerFooter>
    <oddHeader>&amp;L &amp;CMunicípio de Ijuí - Pode Executivo
CNPJ: 90.738.196/0001-09 </oddHeader>
    <oddFooter>&amp;L &amp;CRua Bnejamin Constant   - Centro - Ijuí / RS
55 3331 6100 /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revision>1</cp:revision>
  <dcterms:created xsi:type="dcterms:W3CDTF">2023-10-02T20:41:08Z</dcterms:created>
  <dcterms:modified xsi:type="dcterms:W3CDTF">2023-10-02T21:21:19Z</dcterms:modified>
</cp:coreProperties>
</file>