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 hidePivotFieldList="1" defaultThemeVersion="124226"/>
  <xr:revisionPtr revIDLastSave="0" documentId="13_ncr:1_{FD67C4AA-3AE7-4890-A6D0-DA2C39B9EF47}" xr6:coauthVersionLast="47" xr6:coauthVersionMax="47" xr10:uidLastSave="{00000000-0000-0000-0000-000000000000}"/>
  <bookViews>
    <workbookView xWindow="-120" yWindow="-120" windowWidth="21840" windowHeight="13140" tabRatio="659" xr2:uid="{00000000-000D-0000-FFFF-FFFF00000000}"/>
  </bookViews>
  <sheets>
    <sheet name="Base" sheetId="10" r:id="rId1"/>
    <sheet name="Anexo1" sheetId="5" r:id="rId2"/>
    <sheet name="Anexo 2" sheetId="8" r:id="rId3"/>
    <sheet name="Anexo 3" sheetId="11" r:id="rId4"/>
    <sheet name="Anexo 2 e 3 - não usado" sheetId="6" state="hidden" r:id="rId5"/>
    <sheet name="Anexo 4 e 5 - não usado" sheetId="12" state="hidden" r:id="rId6"/>
    <sheet name="Anexo 6 - não usado" sheetId="13" state="hidden" r:id="rId7"/>
  </sheets>
  <definedNames>
    <definedName name="_xlnm.Print_Area" localSheetId="2">'Anexo 2'!$A$1:$J$11</definedName>
    <definedName name="_xlnm.Print_Area" localSheetId="4">'Anexo 2 e 3 - não usado'!$A$1:$K$45</definedName>
    <definedName name="_xlnm.Print_Area" localSheetId="3">'Anexo 3'!$A$1:$F$15</definedName>
    <definedName name="_xlnm.Print_Area" localSheetId="5">'Anexo 4 e 5 - não usado'!$A$1:$J$45</definedName>
    <definedName name="_xlnm.Print_Area" localSheetId="6">'Anexo 6 - não usado'!$A$1:$F$15</definedName>
    <definedName name="_xlnm.Print_Area" localSheetId="1">Anexo1!$A$1:$J$35</definedName>
    <definedName name="_xlnm.Print_Area" localSheetId="0">Base!$C$1:$F$116</definedName>
    <definedName name="Excel_BuiltIn_Print_Area_1_1">#REF!</definedName>
    <definedName name="_xlnm.Print_Titles" localSheetId="0">Base!$1:$3</definedName>
  </definedNames>
  <calcPr calcId="181029"/>
  <customWorkbookViews>
    <customWorkbookView name="PLANILHA" guid="{F88BF407-FBFB-4C35-ACE1-B7FA7CF8D02B}" maximized="1" xWindow="1" yWindow="1" windowWidth="1020" windowHeight="543" activeSheetId="3"/>
  </customWorkbookViews>
</workbook>
</file>

<file path=xl/calcChain.xml><?xml version="1.0" encoding="utf-8"?>
<calcChain xmlns="http://schemas.openxmlformats.org/spreadsheetml/2006/main">
  <c r="C8" i="11" l="1"/>
  <c r="C13" i="11" s="1"/>
  <c r="F6" i="11"/>
  <c r="E6" i="11"/>
  <c r="D6" i="11"/>
  <c r="F18" i="10"/>
  <c r="F19" i="10"/>
  <c r="F20" i="10"/>
  <c r="F17" i="10"/>
  <c r="F10" i="10"/>
  <c r="F9" i="10"/>
  <c r="F8" i="10"/>
  <c r="H8" i="10"/>
  <c r="E113" i="13"/>
  <c r="C8" i="13"/>
  <c r="C13" i="13" s="1"/>
  <c r="F6" i="13"/>
  <c r="E6" i="13"/>
  <c r="D6" i="13"/>
  <c r="E113" i="12"/>
  <c r="I43" i="12"/>
  <c r="G43" i="12"/>
  <c r="J43" i="12" s="1"/>
  <c r="G42" i="12"/>
  <c r="J42" i="12" s="1"/>
  <c r="J41" i="12"/>
  <c r="I41" i="12"/>
  <c r="G41" i="12"/>
  <c r="J40" i="12"/>
  <c r="G40" i="12"/>
  <c r="I40" i="12" s="1"/>
  <c r="I39" i="12"/>
  <c r="G39" i="12"/>
  <c r="J39" i="12" s="1"/>
  <c r="J44" i="12" l="1"/>
  <c r="I42" i="12"/>
  <c r="E113" i="5" l="1"/>
  <c r="E113" i="6"/>
  <c r="E113" i="8"/>
  <c r="E113" i="11"/>
  <c r="F37" i="10" l="1"/>
  <c r="G22" i="10" l="1"/>
  <c r="H22" i="10" s="1"/>
  <c r="H23" i="10" s="1"/>
  <c r="F31" i="10"/>
  <c r="F43" i="10" l="1"/>
  <c r="F40" i="10" l="1"/>
  <c r="F101" i="10" s="1"/>
  <c r="F34" i="10" l="1"/>
  <c r="F35" i="10"/>
  <c r="F82" i="10" l="1"/>
  <c r="F87" i="10" s="1"/>
  <c r="J27" i="10"/>
  <c r="F42" i="10"/>
  <c r="G16" i="10"/>
  <c r="F41" i="10" l="1"/>
  <c r="F92" i="10" s="1"/>
  <c r="G92" i="10" l="1"/>
  <c r="G93" i="10" s="1"/>
  <c r="F94" i="10"/>
  <c r="F109" i="10"/>
  <c r="D107" i="10"/>
  <c r="D106" i="10"/>
  <c r="D105" i="10"/>
  <c r="G94" i="10" l="1"/>
  <c r="G95" i="10"/>
  <c r="C116" i="10"/>
  <c r="C115" i="10"/>
  <c r="C114" i="10"/>
  <c r="C113" i="10"/>
  <c r="C112" i="10"/>
  <c r="C103" i="10"/>
  <c r="C99" i="10"/>
  <c r="C98" i="10"/>
  <c r="C91" i="10"/>
  <c r="C81" i="10"/>
  <c r="C80" i="10"/>
  <c r="C79" i="10"/>
  <c r="C57" i="10"/>
  <c r="C67" i="10"/>
  <c r="C48" i="10"/>
  <c r="C47" i="10"/>
  <c r="C46" i="10"/>
  <c r="C45" i="10"/>
  <c r="C6" i="10"/>
  <c r="E58" i="10" s="1"/>
  <c r="B50" i="10"/>
  <c r="B51" i="10" s="1"/>
  <c r="B52" i="10" s="1"/>
  <c r="B53" i="10" s="1"/>
  <c r="B54" i="10" s="1"/>
  <c r="B55" i="10" s="1"/>
  <c r="B56" i="10" s="1"/>
  <c r="B58" i="10" s="1"/>
  <c r="B7" i="10"/>
  <c r="F88" i="10"/>
  <c r="F89" i="10"/>
  <c r="F83" i="10"/>
  <c r="F85" i="10" s="1"/>
  <c r="F68" i="10"/>
  <c r="F69" i="10" s="1"/>
  <c r="F72" i="10" s="1"/>
  <c r="F75" i="10"/>
  <c r="F74" i="10"/>
  <c r="F65" i="10"/>
  <c r="F64" i="10"/>
  <c r="F55" i="10"/>
  <c r="F73" i="10"/>
  <c r="F63" i="10"/>
  <c r="F54" i="10"/>
  <c r="F58" i="10"/>
  <c r="F59" i="10" s="1"/>
  <c r="G62" i="10" s="1"/>
  <c r="F49" i="10"/>
  <c r="F50" i="10" s="1"/>
  <c r="F51" i="10" s="1"/>
  <c r="J14" i="10"/>
  <c r="G96" i="10" l="1"/>
  <c r="F84" i="10"/>
  <c r="F86" i="10"/>
  <c r="F93" i="10"/>
  <c r="F95" i="10"/>
  <c r="C7" i="10"/>
  <c r="E68" i="10" s="1"/>
  <c r="B8" i="10"/>
  <c r="C8" i="10" s="1"/>
  <c r="E49" i="10"/>
  <c r="B59" i="10"/>
  <c r="I62" i="10"/>
  <c r="G53" i="10"/>
  <c r="I53" i="10" s="1"/>
  <c r="F53" i="10"/>
  <c r="F62" i="10"/>
  <c r="F60" i="10"/>
  <c r="F61" i="10" s="1"/>
  <c r="F70" i="10"/>
  <c r="F71" i="10" s="1"/>
  <c r="F52" i="10"/>
  <c r="G7" i="8"/>
  <c r="J7" i="8" s="1"/>
  <c r="G6" i="8"/>
  <c r="I6" i="8" s="1"/>
  <c r="G5" i="8"/>
  <c r="J5" i="8" s="1"/>
  <c r="G4" i="8"/>
  <c r="I4" i="8" s="1"/>
  <c r="G3" i="8"/>
  <c r="J3" i="8" s="1"/>
  <c r="F96" i="10" l="1"/>
  <c r="B9" i="10"/>
  <c r="B60" i="10"/>
  <c r="F90" i="10"/>
  <c r="G97" i="10" s="1"/>
  <c r="F76" i="10"/>
  <c r="F66" i="10"/>
  <c r="I5" i="8"/>
  <c r="J6" i="8"/>
  <c r="I3" i="8"/>
  <c r="J4" i="8"/>
  <c r="I7" i="8"/>
  <c r="F97" i="10" l="1"/>
  <c r="C9" i="10"/>
  <c r="B10" i="10"/>
  <c r="B61" i="10"/>
  <c r="J8" i="8"/>
  <c r="F21" i="10" s="1"/>
  <c r="F77" i="10" s="1"/>
  <c r="F106" i="10" l="1"/>
  <c r="C10" i="10"/>
  <c r="B11" i="10"/>
  <c r="B62" i="10"/>
  <c r="C11" i="10" l="1"/>
  <c r="B12" i="10"/>
  <c r="B13" i="10" s="1"/>
  <c r="B63" i="10"/>
  <c r="C12" i="10" l="1"/>
  <c r="B14" i="10"/>
  <c r="C13" i="10"/>
  <c r="B64" i="10"/>
  <c r="B15" i="10" l="1"/>
  <c r="C14" i="10"/>
  <c r="B65" i="10"/>
  <c r="B16" i="10" l="1"/>
  <c r="C15" i="10"/>
  <c r="B66" i="10"/>
  <c r="B68" i="10" l="1"/>
  <c r="B69" i="10" s="1"/>
  <c r="B17" i="10"/>
  <c r="C16" i="10"/>
  <c r="B70" i="10" l="1"/>
  <c r="B18" i="10"/>
  <c r="C17" i="10"/>
  <c r="E73" i="10" l="1"/>
  <c r="E54" i="10"/>
  <c r="E63" i="10"/>
  <c r="B71" i="10"/>
  <c r="B19" i="10"/>
  <c r="B20" i="10" s="1"/>
  <c r="C18" i="10"/>
  <c r="C20" i="10" l="1"/>
  <c r="B21" i="10"/>
  <c r="E64" i="10"/>
  <c r="E55" i="10"/>
  <c r="E74" i="10"/>
  <c r="C19" i="10"/>
  <c r="B72" i="10"/>
  <c r="B22" i="10" l="1"/>
  <c r="C21" i="10"/>
  <c r="E77" i="10" s="1"/>
  <c r="B73" i="10"/>
  <c r="E75" i="10"/>
  <c r="E65" i="10"/>
  <c r="C22" i="10" l="1"/>
  <c r="B24" i="10"/>
  <c r="B23" i="10"/>
  <c r="B74" i="10"/>
  <c r="C24" i="10" l="1"/>
  <c r="B25" i="10"/>
  <c r="C23" i="10"/>
  <c r="E82" i="10" s="1"/>
  <c r="B75" i="10"/>
  <c r="B26" i="10" l="1"/>
  <c r="C25" i="10"/>
  <c r="B76" i="10"/>
  <c r="B77" i="10" s="1"/>
  <c r="B78" i="10" l="1"/>
  <c r="B27" i="10"/>
  <c r="C26" i="10"/>
  <c r="B83" i="10" l="1"/>
  <c r="B28" i="10"/>
  <c r="C27" i="10"/>
  <c r="B84" i="10" l="1"/>
  <c r="B29" i="10"/>
  <c r="C28" i="10"/>
  <c r="B85" i="10" l="1"/>
  <c r="B30" i="10"/>
  <c r="C29" i="10"/>
  <c r="E88" i="10" s="1"/>
  <c r="B86" i="10" l="1"/>
  <c r="B31" i="10"/>
  <c r="C30" i="10"/>
  <c r="E89" i="10" s="1"/>
  <c r="B87" i="10" l="1"/>
  <c r="B32" i="10"/>
  <c r="C31" i="10"/>
  <c r="B88" i="10" l="1"/>
  <c r="B34" i="10"/>
  <c r="B35" i="10" s="1"/>
  <c r="C32" i="10"/>
  <c r="B36" i="10" l="1"/>
  <c r="C35" i="10"/>
  <c r="B89" i="10"/>
  <c r="C34" i="10"/>
  <c r="B37" i="10" l="1"/>
  <c r="C37" i="10" s="1"/>
  <c r="C36" i="10"/>
  <c r="B90" i="10"/>
  <c r="F56" i="10"/>
  <c r="F78" i="10" l="1"/>
  <c r="F100" i="10" s="1"/>
  <c r="F102" i="10" s="1"/>
  <c r="B38" i="10"/>
  <c r="C38" i="10" s="1"/>
  <c r="B92" i="10"/>
  <c r="B93" i="10" s="1"/>
  <c r="F105" i="10" l="1"/>
  <c r="I78" i="10"/>
  <c r="J78" i="10"/>
  <c r="B39" i="10"/>
  <c r="C39" i="10" s="1"/>
  <c r="B94" i="10"/>
  <c r="F107" i="10" l="1"/>
  <c r="F108" i="10" s="1"/>
  <c r="B40" i="10"/>
  <c r="B95" i="10"/>
  <c r="C40" i="10" l="1"/>
  <c r="E101" i="10" s="1"/>
  <c r="B41" i="10"/>
  <c r="F110" i="10"/>
  <c r="F111" i="10" s="1"/>
  <c r="G105" i="10"/>
  <c r="G106" i="10"/>
  <c r="G107" i="10"/>
  <c r="B97" i="10"/>
  <c r="B96" i="10"/>
  <c r="B42" i="10" l="1"/>
  <c r="B43" i="10" s="1"/>
  <c r="C41" i="10"/>
  <c r="E92" i="10" s="1"/>
  <c r="I110" i="10"/>
  <c r="J110" i="10"/>
  <c r="C43" i="10" l="1"/>
  <c r="B44" i="10"/>
  <c r="C44" i="10" s="1"/>
  <c r="C42" i="10"/>
  <c r="C69" i="10"/>
  <c r="C92" i="10" l="1"/>
  <c r="E94" i="10" s="1"/>
  <c r="C96" i="10"/>
  <c r="C68" i="10"/>
  <c r="E69" i="10" s="1"/>
  <c r="C52" i="10"/>
  <c r="E72" i="10"/>
  <c r="C102" i="10"/>
  <c r="E107" i="10" s="1"/>
  <c r="C72" i="10"/>
  <c r="C49" i="10"/>
  <c r="E50" i="10" s="1"/>
  <c r="C85" i="10"/>
  <c r="C61" i="10"/>
  <c r="C77" i="10"/>
  <c r="C78" i="10"/>
  <c r="E93" i="10"/>
  <c r="C101" i="10"/>
  <c r="C95" i="10"/>
  <c r="C93" i="10"/>
  <c r="C89" i="10"/>
  <c r="C86" i="10"/>
  <c r="C82" i="10"/>
  <c r="C74" i="10"/>
  <c r="C66" i="10"/>
  <c r="C70" i="10"/>
  <c r="C60" i="10"/>
  <c r="C51" i="10"/>
  <c r="C53" i="10"/>
  <c r="C90" i="10"/>
  <c r="E97" i="10" s="1"/>
  <c r="C87" i="10"/>
  <c r="C83" i="10"/>
  <c r="C75" i="10"/>
  <c r="C71" i="10"/>
  <c r="C65" i="10"/>
  <c r="C63" i="10"/>
  <c r="C55" i="10"/>
  <c r="C50" i="10"/>
  <c r="E70" i="10" s="1"/>
  <c r="C58" i="10"/>
  <c r="E59" i="10" s="1"/>
  <c r="C94" i="10"/>
  <c r="C88" i="10"/>
  <c r="C84" i="10"/>
  <c r="C76" i="10"/>
  <c r="C73" i="10"/>
  <c r="C64" i="10"/>
  <c r="C62" i="10"/>
  <c r="C59" i="10"/>
  <c r="E62" i="10" s="1"/>
  <c r="C54" i="10"/>
  <c r="C56" i="10"/>
  <c r="E95" i="10" l="1"/>
  <c r="E85" i="10"/>
  <c r="E84" i="10"/>
  <c r="E105" i="10"/>
  <c r="E78" i="10"/>
  <c r="E109" i="10"/>
  <c r="E61" i="10"/>
  <c r="E76" i="10"/>
  <c r="E51" i="10"/>
  <c r="E53" i="10"/>
  <c r="E96" i="10"/>
  <c r="E86" i="10"/>
  <c r="E87" i="10"/>
  <c r="E83" i="10"/>
  <c r="E90" i="10"/>
  <c r="E66" i="10"/>
  <c r="E60" i="10"/>
  <c r="E71" i="10"/>
  <c r="E56" i="10"/>
  <c r="E52" i="10"/>
  <c r="C97" i="10" l="1"/>
  <c r="E100" i="10" s="1"/>
  <c r="C100" i="10"/>
  <c r="E102" i="10" s="1"/>
  <c r="E106" i="10" l="1"/>
  <c r="C104" i="10" l="1"/>
  <c r="B106" i="10" l="1"/>
  <c r="C105" i="10"/>
  <c r="B107" i="10" l="1"/>
  <c r="B108" i="10" s="1"/>
  <c r="C106" i="10"/>
  <c r="C107" i="10" l="1"/>
  <c r="E108" i="10" s="1"/>
  <c r="B110" i="10" l="1"/>
  <c r="B109" i="10"/>
  <c r="C109" i="10" l="1"/>
  <c r="B111" i="10"/>
  <c r="C111" i="10" s="1"/>
  <c r="C110" i="10"/>
  <c r="E111" i="10" s="1"/>
  <c r="C108" i="10"/>
  <c r="E1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" authorId="0" shapeId="0" xr:uid="{2A0432FB-BFC4-4983-B178-A7E4BFE2F2B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593C24C8-49FB-4B98-80FA-69A2468A212A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F2849B4-8B1B-47A9-BA59-AF1B5DFA893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E2D65584-A745-4937-BB70-6C3317ECB6A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9" authorId="0" shapeId="0" xr:uid="{DAD5B65F-A115-497C-8027-24B310B8BCBD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888D9C51-13DE-4EE4-8834-ADD0284FFDE2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13F639A6-22A0-494A-A869-CAFBC49FE47D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" authorId="0" shapeId="0" xr:uid="{EF4C523C-1F71-4746-A044-5CDFFEC8D99E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329D9A65-E5D1-4B02-8994-A26AD7A56066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030275BD-D96C-4F0D-A19E-50B8A4EAE10E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4417AC2C-459E-4A07-A472-68C6BE34CA99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9" authorId="0" shapeId="0" xr:uid="{D40E44FC-A56A-44C3-A866-1D6862FA5059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BD21FD6-79F9-48D9-89A7-0AE49B8C268E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728A822A-50F2-40E7-BF0C-111C36C237D6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<sst xmlns="http://schemas.openxmlformats.org/spreadsheetml/2006/main" count="289" uniqueCount="190">
  <si>
    <t xml:space="preserve">DISCRIMINAÇÃO </t>
  </si>
  <si>
    <t xml:space="preserve">UNIDADE </t>
  </si>
  <si>
    <t xml:space="preserve"> PREÇO </t>
  </si>
  <si>
    <t>SUB TOTAL</t>
  </si>
  <si>
    <t xml:space="preserve"> TOTAL</t>
  </si>
  <si>
    <t>Encargos Sociais</t>
  </si>
  <si>
    <t>unid.</t>
  </si>
  <si>
    <t>Vida útil pneus</t>
  </si>
  <si>
    <t>Taxa de expedição do documento (CRLV)</t>
  </si>
  <si>
    <t>Seguro obrigatório (DPVAT)</t>
  </si>
  <si>
    <t>Seguros/Riscos/Garantias</t>
  </si>
  <si>
    <t>BDI</t>
  </si>
  <si>
    <t>Cone de sinalização - 75cm - ABNT</t>
  </si>
  <si>
    <t>Escada em fibra de vidro 9m</t>
  </si>
  <si>
    <t>Vara de manobra telescópica</t>
  </si>
  <si>
    <t>Tapete isolante</t>
  </si>
  <si>
    <t>QUANT./MÊS</t>
  </si>
  <si>
    <t>EPC'S</t>
  </si>
  <si>
    <t>Total EPC'S</t>
  </si>
  <si>
    <t>Valor</t>
  </si>
  <si>
    <t>Valor Combustivel (R$/Litro)</t>
  </si>
  <si>
    <t>IPVA (% s/ valor Veiculo)</t>
  </si>
  <si>
    <t>Custo de manutenção (% a. a.)</t>
  </si>
  <si>
    <t>Média de Dias Úteis Trabalhados (Dias/Mês)</t>
  </si>
  <si>
    <t>(365 dias ano /(7 dias semana x 12 meses))*5 dias de trabalho por semana</t>
  </si>
  <si>
    <t>Total Remuneração de Capital (% a. a.)</t>
  </si>
  <si>
    <t>Meta Taxa Selic -  Comitê de Política Monetária do Banco Central do Brasil</t>
  </si>
  <si>
    <t>Pneus Recapados</t>
  </si>
  <si>
    <t>Número de Recapagens</t>
  </si>
  <si>
    <t>Periculosidade - Eletricista</t>
  </si>
  <si>
    <t>Periculosidade - Motorista</t>
  </si>
  <si>
    <t>Pneu Novo (215/75r17.5)</t>
  </si>
  <si>
    <t>Periculosidade - Eletrotecnico</t>
  </si>
  <si>
    <t>Vale alimentação (R$/Mês)</t>
  </si>
  <si>
    <t>SINAPI - Preços de Referencia 07/2019 - Insumos -  Rio Grande do Sul - Código 43496</t>
  </si>
  <si>
    <t>SINAPI - Preços de Referencia 07/2019 - Insumos -  Rio Grande do Sul - Código 43472</t>
  </si>
  <si>
    <t>SINAPI - Preços de Referencia 07/2019 - Insumos -  Rio Grande do Sul - Código 43500</t>
  </si>
  <si>
    <t>Anexo 2 - EPI para Eletricista</t>
  </si>
  <si>
    <t>Anexo 3 - EPI para a Motorista</t>
  </si>
  <si>
    <t>Anexo 4 - Ferramentas para Eletricista</t>
  </si>
  <si>
    <t>Anexo 1 - Detalhamento dos Encargos Sociais</t>
  </si>
  <si>
    <t>Cobertura tipo lençol - 330mm x 800mm = 1/12</t>
  </si>
  <si>
    <t>MUNICÍPIO DE IJUÍ - PODER EXECUTIVO</t>
  </si>
  <si>
    <t>Cod.</t>
  </si>
  <si>
    <t>Componentes</t>
  </si>
  <si>
    <t>Fonte de Informação</t>
  </si>
  <si>
    <t>Valor Mensal ou Unidade de serviço</t>
  </si>
  <si>
    <t>Tempo de Trabalho (Horas de Trabalho/Mês)</t>
  </si>
  <si>
    <t>Resumo</t>
  </si>
  <si>
    <t>Ijuí/RS,</t>
  </si>
  <si>
    <t>Salário Motorista (mensalista) - 220 horas/mês</t>
  </si>
  <si>
    <t>Salário Eletrotecnico (Mensalista)  - 220 horas/mês</t>
  </si>
  <si>
    <t>Salário Eletricista (Mensalista) - 220 horas/mês</t>
  </si>
  <si>
    <t>Jornada de Trabalho Mensal - Eletrotecnico</t>
  </si>
  <si>
    <t>Tarifa Transporte (R$/Viagem)</t>
  </si>
  <si>
    <t>Taxa Minima - Vale Transporte (%)</t>
  </si>
  <si>
    <t>Motorista</t>
  </si>
  <si>
    <t>Valor/Mês</t>
  </si>
  <si>
    <t>Eletricista</t>
  </si>
  <si>
    <t>Eletrotécnico</t>
  </si>
  <si>
    <t>Dias Úteis Trabalhados Eletrotécnico (Dias/Mês)</t>
  </si>
  <si>
    <t>20 horas mes / 8 horas dia</t>
  </si>
  <si>
    <t>Composição da Frota</t>
  </si>
  <si>
    <t>Custos Fixos</t>
  </si>
  <si>
    <t>Depreciação (R$/Mês)</t>
  </si>
  <si>
    <t>Remuneração (R$/Mês)</t>
  </si>
  <si>
    <t>Manutenção (R$/Mês)</t>
  </si>
  <si>
    <t>Custos Variáveis</t>
  </si>
  <si>
    <t>Custo Combustivel (R$/Mês)</t>
  </si>
  <si>
    <t>Custo Rodagem (R$/Mês)</t>
  </si>
  <si>
    <t>A</t>
  </si>
  <si>
    <t>B</t>
  </si>
  <si>
    <t>C</t>
  </si>
  <si>
    <t>D</t>
  </si>
  <si>
    <t>F</t>
  </si>
  <si>
    <t>Coeficientes de consumo de Combustivel</t>
  </si>
  <si>
    <t>Custo de Lubrificante (R$/Mês)</t>
  </si>
  <si>
    <t>Valor Total do Serviço (R$/Mês)</t>
  </si>
  <si>
    <t>Total BDI (R$/Mês)</t>
  </si>
  <si>
    <t>Total Composição da Frota  (R$/Mês)</t>
  </si>
  <si>
    <t>Total Custos Variáveis  (R$/Mês)</t>
  </si>
  <si>
    <t>Total Custos Fixos (R$/Mês)</t>
  </si>
  <si>
    <t>Total Mensal da Remuneração (R$/Mês)</t>
  </si>
  <si>
    <t>Total Remuneração por Trabalhador (R$/Mês)</t>
  </si>
  <si>
    <t>Salário (R$/Mês)</t>
  </si>
  <si>
    <t>Adicional Periculosidade (R$/Mês)</t>
  </si>
  <si>
    <t>Encargos Sociais (R$/Mês)</t>
  </si>
  <si>
    <t>Custo Efetivo em Vale Transporte (R$/Mês)</t>
  </si>
  <si>
    <t>Vale Alimentação (R$/Mês)</t>
  </si>
  <si>
    <t>EPI's (R$/Mês)</t>
  </si>
  <si>
    <t>Ferramentas (R$/Mês)</t>
  </si>
  <si>
    <t>Valor Total do Veículo (R$)</t>
  </si>
  <si>
    <t>Valor do Veículo - Sem Pneus (R$)</t>
  </si>
  <si>
    <t>IPVA (R$/Mês)</t>
  </si>
  <si>
    <t>Seguro obrigatório - DPVAT  (R$/Mês)</t>
  </si>
  <si>
    <t>Taxa de expedição do documento - CRLV  (R$/Mês)</t>
  </si>
  <si>
    <t>Quantidade Estimada de Atendimentos (Qtde Pontos /Mês)</t>
  </si>
  <si>
    <t>8 horas/dia x 5 dias/semana</t>
  </si>
  <si>
    <t>Jornada de Trabalho Mensal - Eletricista e Motorista (Horas/Mês)</t>
  </si>
  <si>
    <t>SECRETARIA MUNICIPAL DE DESENVOLVIMENTO URBANO, OBRAS E TRÂNSITO</t>
  </si>
  <si>
    <t>Equipamentos de Proteção Coletiva (EPC's)</t>
  </si>
  <si>
    <t>Quilometragem Rodada Estimada (Km /Mês)</t>
  </si>
  <si>
    <t>Despesas de Pessoal e Equipamentos de Proteção</t>
  </si>
  <si>
    <t>Epi - Familia Eletricista - Mensalista</t>
  </si>
  <si>
    <t>Ferramentas - Familia Eletricista - Mensalista</t>
  </si>
  <si>
    <t>Epi - Motorista - Mensalista</t>
  </si>
  <si>
    <t>Anexo 2</t>
  </si>
  <si>
    <t>Nr 16 - Atividades e Operações Perigosas</t>
  </si>
  <si>
    <t>Lei nº 7.418, de 16 de Dezembro de 1985.</t>
  </si>
  <si>
    <t>4 horas/semana</t>
  </si>
  <si>
    <t>Valor por Atendimento (R$/Ponto)</t>
  </si>
  <si>
    <t>Medianeira Transportes Ijuí Ltda - https://medianeiratransporte.com.br/2020/cartao-leve/</t>
  </si>
  <si>
    <t xml:space="preserve">Guindauto Hidraulico, Capacidade Maxima De Carga 6200 Kg, Momento Maximo De Carga 11,7 Tm , Alcance Maximo Horizontal  9,70 M, Para Montagem Sobre Chassi De Caminhao Pbt Minimo 13000 Kg (Inclui Montagem, Nao Inclui Caminhao)       </t>
  </si>
  <si>
    <t>Seguro DPVAT 2021 - Detran RS (https://www.detran.rs.gov.br/veiculos/servicos/626)</t>
  </si>
  <si>
    <t>LEI ESTADUAL Nº 8.115, DE 30 DE DEZEMBRO DE 1985 - Art. 9 - Inciso IV</t>
  </si>
  <si>
    <t>Unificada, em 2021 passa para R$ 66,70 também no caso de veículos com menos de 15 anos (68% da frota). Em 2022 será R$ 85,22 para todos os veículos, com valor corrigido pela Unidade Padrão Fiscal (UPF) nos anos subsequentes.</t>
  </si>
  <si>
    <t>Portaria DETRAN/RS Nº 43 DE 27/01/2021</t>
  </si>
  <si>
    <t>Coeficiente de consumo de lubrificantes (Lt/km)</t>
  </si>
  <si>
    <t>Tabela A.III.1: Consumo (l/km) -
Anexo III - Método de Cálculo do Consumo
de Combustível; CUSTOS DOS SERVIÇOS DE TRANSPORTE PÚBLICO POR ÔNIBUS - MÉTODO DE CÁLCULO - ANTP (Agosto de 2017)
Coeficiente de Referência p/ Ônibus Básico (0,37 &lt; c &gt; 0,45)</t>
  </si>
  <si>
    <t>Anexo IV: Relação entre o Preço de Lubrificantes e Consumo de Óleo Diesel; CUSTOS DOS SERVIÇOS DE TRANSPORTE PÚBLICO POR ÔNIBUS - MÉTODO DE CÁLCULO - ANTP (Agosto de 2017) 
Valores de Referência (0,0241 &lt; c &lt; 0,0290)</t>
  </si>
  <si>
    <t>Tabela A.VII.2: valores do coeficiente para cada faixa etária de veículos; ANEXO VII - Peças e Acessórios; CUSTOS DOS SERVIÇOS DE TRANSPORTE PÚBLICO POR ÔNIBUS - MÉTODO DE CÁLCULO - ANTP (Agosto de 2017)
Valores de Referência para Veículos de 0 a 2 anos</t>
  </si>
  <si>
    <t>Resultado do cálculo do BDI:</t>
  </si>
  <si>
    <t>{[(1+AC+SRG) x (1+L) x (1+DF)] / (1-T)} -1</t>
  </si>
  <si>
    <t>Fórmula para o cálculo do BDI:</t>
  </si>
  <si>
    <t>Tributos - PIS/COFINS</t>
  </si>
  <si>
    <t>DU</t>
  </si>
  <si>
    <t>T</t>
  </si>
  <si>
    <t>Tributos - ISS</t>
  </si>
  <si>
    <t>i</t>
  </si>
  <si>
    <t>DF</t>
  </si>
  <si>
    <t>Despesas Financeiras</t>
  </si>
  <si>
    <t>L</t>
  </si>
  <si>
    <t>Lucro</t>
  </si>
  <si>
    <t>SRG</t>
  </si>
  <si>
    <t>AC</t>
  </si>
  <si>
    <t>Administração Central</t>
  </si>
  <si>
    <t>3° Quartil</t>
  </si>
  <si>
    <t>Médio</t>
  </si>
  <si>
    <t>1° Quartil</t>
  </si>
  <si>
    <t>Valor Total do Serviço - S/BDI (R$/Mês)</t>
  </si>
  <si>
    <t>BDI (%)</t>
  </si>
  <si>
    <t xml:space="preserve">Anexo IV: ANEXO VI – Vida Útil e Recapagem de Pneus; CUSTOS DOS SERVIÇOS DE TRANSPORTE PÚBLICO POR ÔNIBUS - MÉTODO DE CÁLCULO - ANTP (Agosto de 2017) 
Valores de Referência (85.000 &lt; c &lt; 125.000) </t>
  </si>
  <si>
    <t xml:space="preserve">Anexo IV: ANEXO VI – Vida Útil e Recapagem de Pneus; CUSTOS DOS SERVIÇOS DE TRANSPORTE PÚBLICO POR ÔNIBUS - MÉTODO DE CÁLCULO - ANTP (Agosto de 2017) 
Valores de Referência (2 &lt; c &lt; 3) </t>
  </si>
  <si>
    <t>Aguardando retorno da smodutran</t>
  </si>
  <si>
    <t>Verificar texto com Matias</t>
  </si>
  <si>
    <t>___________________________</t>
  </si>
  <si>
    <t>___________________________________</t>
  </si>
  <si>
    <t>Valor Residual</t>
  </si>
  <si>
    <t>Vida útil (Caminhão e Carroceria)</t>
  </si>
  <si>
    <t>SINAPI - Preços de Referencia 08/2021 - Insumos -  Rio Grande do Sul - Código 37761</t>
  </si>
  <si>
    <t>Caminhao Toco, Peso Bruto Total 16.000 Kg, Carga Util Maxima 10685 Kg, Distancia Entre Eixos 4,80 M, Potencia 189 Cv (Inclui Cabine E Chassi, Nao Inclui Carroceria)</t>
  </si>
  <si>
    <t>Fonte: Orçamentos EPC's: Empresa: Fernando de Freitas Erthal Eireli - ME (Erthalcom); CNPJ: 24.315745/0001-08; Data: 06/10/2021</t>
  </si>
  <si>
    <t>Quilometragem Rodada (Km Rodado/Dia)</t>
  </si>
  <si>
    <t>Valor Total do Contrato (R$)</t>
  </si>
  <si>
    <t>Valor Residual: 20%</t>
  </si>
  <si>
    <t>Vida Útil: 10 Anos</t>
  </si>
  <si>
    <t xml:space="preserve">  PLANILHA DE CUSTOS PARA SERVIÇO DE SUBSTITUIÇÃO DAS LUMINÁRIAS EXISTENTES POR LUMINÁRIAS LED PARA ILUMINAÇÃO PÚBLICA RURAL E URBANA – IJUÍ/RS</t>
  </si>
  <si>
    <t>Total de Pontos de Susbstituição por LED's</t>
  </si>
  <si>
    <t>Tempo médio para execução do Serviço de substituição de Luminárias Existentes por Luminárias LED (Minutos/Ponto)</t>
  </si>
  <si>
    <t>Valor referente a 1/2 pneu novo</t>
  </si>
  <si>
    <t>Referência: 2 vezes o Raio da Area Urbana do Municipio</t>
  </si>
  <si>
    <t>Fonte: Kit de EPI para a Família de Operador de Escavadeira - SINAPI - CÁLCULOS E PARÂMETROS, 2ª Edição, Atualizada em Novembro/2020.</t>
  </si>
  <si>
    <t>Fonte: Kit de Ferramentas para a Família de Eletricista - SINAPI - CÁLCULOS E PARÂMETROS, 2ª Edição, Atualizada em Novembro/2020.</t>
  </si>
  <si>
    <t>Fonte: Kit de EPI para a Família de Eletricista - SINAPI - CÁLCULOS E PARÂMETROS, 2ª Edição, Atualizada em Novembro/2020.</t>
  </si>
  <si>
    <t>SINAPI - Preços de Referencia 07/2019 - Insumos -  Rio Grande do Sul (Sem Encargos Sociais) - Código 40992</t>
  </si>
  <si>
    <t>SINAPI - Preços de Referencia 07/2019 - Insumos -  Rio Grande do Sul (Sem Encargos Sociais) - Código 40922</t>
  </si>
  <si>
    <t>SINAPI - Preços de Referencia 07/2019 - Insumos -  Rio Grande do Sul (Sem Encargos Sociais) - Código 40918</t>
  </si>
  <si>
    <t>SINAPI - A partir de 01/2023 - Encargos Sociais sobre a Mão de Obra de Mensalista no  Rio Grande do Sul (Não Desonerado)</t>
  </si>
  <si>
    <t>SINAPI - Preços de Referencia 06/2023 - Insumos -  Rio Grande do Sul (Sem Encargos Sociais) - Código 40862</t>
  </si>
  <si>
    <t>SINAPI - Preços de Referencia 06/2023 - Insumos -  Rio Grande do Sul (Sem Encargos Sociais) - Código 43496</t>
  </si>
  <si>
    <t>SINAPI - Preços de Referencia 06/2023 - Insumos -  Rio Grande do Sul (Sem Encargos Sociais) - Código 43472</t>
  </si>
  <si>
    <t>SINAPI - Preços de Referencia 06/2023 - Insumos -  Rio Grande do Sul (Sem Encargos Sociais) - Código 43500</t>
  </si>
  <si>
    <t>SINAPI - Preços de Referencia 06/2023 - Insumos -  Rio Grande do Sul - Código 3363</t>
  </si>
  <si>
    <t>Referência estudo TCE</t>
  </si>
  <si>
    <t>Fonte:  Encargos Sociais – Rio Grande do Sul - SINAPI - CÁLCULOS E PARÂMETROS, 5ª Edição, Atualizada em Janeiro/2023.</t>
  </si>
  <si>
    <t>SAUL VIONE WINIK</t>
  </si>
  <si>
    <t>MATRÍCULA 2398141</t>
  </si>
  <si>
    <t>Anexo 3 - Composição do BDI - Benefícios e Despesas Indiretas</t>
  </si>
  <si>
    <t>Anexo 2 - Equipamentos de Proteção Coletiva</t>
  </si>
  <si>
    <t>SINAPI - Composição do Tempo de Trabalho - Relatório Analitico, Nao Desonerado -  Rio Grande do Sul - Código da Composição 101661 SUBSTITUIÇÃO DE LUMINÁRIA DE VAPOR DE MERCÚRIO/VAPOR DE SÓDIO POR LUMINÁRIA DE LED PARA ILUMINAÇÃO PÚBLICA (NÃO INCLUI FORNECIMENTO). AF_06/2023
1,0487 horas = 62,92 minutos</t>
  </si>
  <si>
    <t>Fonte: Orçamentos EPC's: Empresa: ERT SOLUÇÕES EIRELI; CNPJ: 24.315745/0001-08; Data: 26/07/2023</t>
  </si>
  <si>
    <t>SINAPI - Preços de Referencia 06/2023 - Insumos -  Rio Grande do Sul (Sem Encargos Sociais) - Código 40992</t>
  </si>
  <si>
    <t>SINAPI - Preços de Referencia 06/2023 - Insumos -  Rio Grande do Sul (Sem Encargos Sociais) - Código 40922</t>
  </si>
  <si>
    <t>SINAPI - Preços de Referencia 06/2023 - Insumos -  Rio Grande do Sul (Sem Encargos Sociais) - Código 40918</t>
  </si>
  <si>
    <t>Síntese dos Preços Praticados ANP - Preço Médio - Ijuí - Diesel S10 - Período: De 16/07/2023 a 22/07/2023</t>
  </si>
  <si>
    <t>Pneu 215/75 R17,5; Licitação PREGÃO PRESENCIAL Nº61/2023;</t>
  </si>
  <si>
    <t>Fábio Franzen</t>
  </si>
  <si>
    <t>SECRETÁRIO MUNICIPAL DA SMODUTRAN</t>
  </si>
  <si>
    <t>REQUISIÇÃO INTERNA N.º 184/2023</t>
  </si>
  <si>
    <t>14 de julho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</si>
</sst>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164" formatCode="_ &quot;R$&quot;\ * #,##0.00_ ;_ &quot;R$&quot;\ * \-#,##0.00_ ;_ &quot;R$&quot;\ * &quot;-&quot;??_ ;_ @_ "/>
    <numFmt numFmtId="165" formatCode="_ * #,##0.00_ ;_ * \-#,##0.00_ ;_ * &quot;-&quot;??_ ;_ @_ "/>
    <numFmt numFmtId="166" formatCode="0.000"/>
    <numFmt numFmtId="167" formatCode="_(* #,##0.00_);_(* \(#,##0.00\);_(* &quot;-&quot;??_);_(@_)"/>
    <numFmt numFmtId="168" formatCode="0.0%"/>
    <numFmt numFmtId="169" formatCode="&quot;R$&quot;\ #,##0.00"/>
    <numFmt numFmtId="170" formatCode="\ d&quot; de &quot;mmmm&quot; de &quot;yyyy"/>
    <numFmt numFmtId="171" formatCode="0.0000"/>
    <numFmt numFmtId="172" formatCode="&quot;R$&quot;\ #,##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4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Roboto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165" fontId="13" fillId="0" borderId="0" applyFill="0" applyBorder="0" applyAlignment="0" applyProtection="0"/>
    <xf numFmtId="9" fontId="13" fillId="0" borderId="0" applyFill="0" applyBorder="0" applyAlignment="0" applyProtection="0"/>
    <xf numFmtId="164" fontId="13" fillId="0" borderId="0" applyFill="0" applyBorder="0" applyAlignment="0" applyProtection="0"/>
    <xf numFmtId="165" fontId="1" fillId="0" borderId="0" applyFont="0" applyFill="0" applyBorder="0" applyAlignment="0" applyProtection="0"/>
    <xf numFmtId="0" fontId="35" fillId="0" borderId="0"/>
    <xf numFmtId="44" fontId="1" fillId="0" borderId="0" applyFont="0" applyFill="0" applyBorder="0" applyAlignment="0" applyProtection="0"/>
  </cellStyleXfs>
  <cellXfs count="27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4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7" fillId="3" borderId="0" xfId="5" applyFont="1" applyFill="1"/>
    <xf numFmtId="0" fontId="14" fillId="0" borderId="0" xfId="5"/>
    <xf numFmtId="0" fontId="11" fillId="3" borderId="0" xfId="5" applyFont="1" applyFill="1"/>
    <xf numFmtId="169" fontId="14" fillId="0" borderId="0" xfId="5" applyNumberFormat="1"/>
    <xf numFmtId="0" fontId="16" fillId="2" borderId="0" xfId="5" applyFont="1" applyFill="1"/>
    <xf numFmtId="165" fontId="14" fillId="0" borderId="0" xfId="5" applyNumberFormat="1"/>
    <xf numFmtId="168" fontId="14" fillId="0" borderId="0" xfId="1" applyNumberFormat="1" applyFont="1"/>
    <xf numFmtId="0" fontId="18" fillId="0" borderId="0" xfId="5" applyFont="1" applyAlignment="1">
      <alignment horizontal="center" vertical="center"/>
    </xf>
    <xf numFmtId="164" fontId="2" fillId="0" borderId="0" xfId="8" applyFont="1" applyAlignment="1">
      <alignment horizontal="center" vertical="center"/>
    </xf>
    <xf numFmtId="0" fontId="18" fillId="0" borderId="0" xfId="5" applyFont="1" applyAlignment="1">
      <alignment horizontal="left" vertical="center"/>
    </xf>
    <xf numFmtId="165" fontId="14" fillId="0" borderId="0" xfId="9" applyFont="1"/>
    <xf numFmtId="10" fontId="14" fillId="0" borderId="0" xfId="1" applyNumberFormat="1" applyFont="1"/>
    <xf numFmtId="10" fontId="0" fillId="0" borderId="0" xfId="0" applyNumberFormat="1"/>
    <xf numFmtId="0" fontId="31" fillId="0" borderId="0" xfId="5" applyFont="1"/>
    <xf numFmtId="0" fontId="31" fillId="0" borderId="0" xfId="5" applyFont="1" applyAlignment="1">
      <alignment vertical="center"/>
    </xf>
    <xf numFmtId="0" fontId="32" fillId="0" borderId="0" xfId="0" applyFont="1"/>
    <xf numFmtId="0" fontId="2" fillId="0" borderId="0" xfId="2"/>
    <xf numFmtId="0" fontId="2" fillId="0" borderId="0" xfId="2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10" fontId="3" fillId="0" borderId="7" xfId="4" applyNumberFormat="1" applyFont="1" applyBorder="1" applyAlignment="1">
      <alignment horizontal="right"/>
    </xf>
    <xf numFmtId="10" fontId="3" fillId="0" borderId="8" xfId="4" applyNumberFormat="1" applyFont="1" applyBorder="1" applyAlignment="1">
      <alignment horizontal="right"/>
    </xf>
    <xf numFmtId="10" fontId="3" fillId="0" borderId="9" xfId="4" applyNumberFormat="1" applyFont="1" applyBorder="1" applyAlignment="1">
      <alignment horizontal="right"/>
    </xf>
    <xf numFmtId="10" fontId="20" fillId="4" borderId="10" xfId="2" applyNumberFormat="1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vertical="center"/>
    </xf>
    <xf numFmtId="0" fontId="20" fillId="4" borderId="12" xfId="2" applyFont="1" applyFill="1" applyBorder="1" applyAlignment="1">
      <alignment vertical="center" wrapText="1"/>
    </xf>
    <xf numFmtId="0" fontId="3" fillId="0" borderId="13" xfId="2" applyFont="1" applyBorder="1"/>
    <xf numFmtId="0" fontId="3" fillId="0" borderId="5" xfId="2" applyFont="1" applyBorder="1" applyAlignment="1">
      <alignment horizontal="center"/>
    </xf>
    <xf numFmtId="0" fontId="3" fillId="0" borderId="14" xfId="2" applyFont="1" applyBorder="1"/>
    <xf numFmtId="0" fontId="3" fillId="0" borderId="15" xfId="2" applyFont="1" applyBorder="1" applyAlignment="1">
      <alignment vertical="center"/>
    </xf>
    <xf numFmtId="0" fontId="3" fillId="0" borderId="16" xfId="2" applyFont="1" applyBorder="1" applyAlignment="1">
      <alignment horizontal="left" vertical="center"/>
    </xf>
    <xf numFmtId="0" fontId="3" fillId="0" borderId="17" xfId="2" applyFont="1" applyBorder="1" applyAlignment="1">
      <alignment horizontal="left" vertical="center"/>
    </xf>
    <xf numFmtId="10" fontId="3" fillId="0" borderId="18" xfId="2" applyNumberFormat="1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9" xfId="2" applyFont="1" applyBorder="1" applyAlignment="1">
      <alignment horizontal="left" vertical="center"/>
    </xf>
    <xf numFmtId="0" fontId="3" fillId="0" borderId="14" xfId="2" applyFont="1" applyBorder="1" applyAlignment="1">
      <alignment horizontal="right"/>
    </xf>
    <xf numFmtId="0" fontId="3" fillId="0" borderId="14" xfId="2" applyFont="1" applyBorder="1" applyAlignment="1">
      <alignment horizontal="left" vertical="center"/>
    </xf>
    <xf numFmtId="10" fontId="3" fillId="0" borderId="14" xfId="4" applyNumberFormat="1" applyFont="1" applyBorder="1" applyAlignment="1">
      <alignment horizontal="right"/>
    </xf>
    <xf numFmtId="10" fontId="3" fillId="0" borderId="13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67" fontId="0" fillId="0" borderId="0" xfId="3" applyFont="1"/>
    <xf numFmtId="10" fontId="3" fillId="0" borderId="13" xfId="4" applyNumberFormat="1" applyFont="1" applyBorder="1" applyAlignment="1">
      <alignment horizontal="right"/>
    </xf>
    <xf numFmtId="10" fontId="3" fillId="0" borderId="5" xfId="4" applyNumberFormat="1" applyFont="1" applyBorder="1" applyAlignment="1">
      <alignment horizontal="right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left" vertical="center"/>
    </xf>
    <xf numFmtId="9" fontId="3" fillId="0" borderId="13" xfId="4" applyFont="1" applyBorder="1"/>
    <xf numFmtId="9" fontId="3" fillId="0" borderId="5" xfId="4" applyFont="1" applyBorder="1" applyAlignment="1">
      <alignment horizontal="center"/>
    </xf>
    <xf numFmtId="9" fontId="3" fillId="0" borderId="14" xfId="4" applyFont="1" applyBorder="1"/>
    <xf numFmtId="0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20" fillId="0" borderId="0" xfId="2" applyFont="1" applyAlignment="1">
      <alignment horizontal="left" vertical="center"/>
    </xf>
    <xf numFmtId="0" fontId="3" fillId="0" borderId="16" xfId="2" applyFont="1" applyBorder="1"/>
    <xf numFmtId="10" fontId="3" fillId="4" borderId="13" xfId="2" applyNumberFormat="1" applyFont="1" applyFill="1" applyBorder="1" applyAlignment="1">
      <alignment horizontal="center" vertical="center"/>
    </xf>
    <xf numFmtId="10" fontId="3" fillId="4" borderId="5" xfId="4" applyNumberFormat="1" applyFont="1" applyFill="1" applyBorder="1" applyAlignment="1">
      <alignment horizontal="center"/>
    </xf>
    <xf numFmtId="0" fontId="24" fillId="4" borderId="5" xfId="2" applyFont="1" applyFill="1" applyBorder="1" applyAlignment="1">
      <alignment horizontal="center"/>
    </xf>
    <xf numFmtId="168" fontId="14" fillId="0" borderId="0" xfId="1" applyNumberFormat="1" applyFont="1" applyAlignment="1">
      <alignment vertical="center"/>
    </xf>
    <xf numFmtId="0" fontId="14" fillId="0" borderId="0" xfId="5" applyAlignment="1">
      <alignment vertical="center"/>
    </xf>
    <xf numFmtId="172" fontId="14" fillId="0" borderId="0" xfId="5" applyNumberFormat="1"/>
    <xf numFmtId="0" fontId="18" fillId="2" borderId="24" xfId="5" applyFont="1" applyFill="1" applyBorder="1" applyAlignment="1">
      <alignment horizontal="left" vertical="center" wrapText="1"/>
    </xf>
    <xf numFmtId="0" fontId="3" fillId="2" borderId="24" xfId="5" applyFont="1" applyFill="1" applyBorder="1" applyAlignment="1">
      <alignment horizontal="center" vertical="center" wrapText="1"/>
    </xf>
    <xf numFmtId="1" fontId="18" fillId="2" borderId="24" xfId="5" applyNumberFormat="1" applyFont="1" applyFill="1" applyBorder="1" applyAlignment="1">
      <alignment horizontal="center" vertical="center"/>
    </xf>
    <xf numFmtId="0" fontId="18" fillId="2" borderId="25" xfId="5" applyFont="1" applyFill="1" applyBorder="1" applyAlignment="1">
      <alignment horizontal="left" vertical="center" wrapText="1"/>
    </xf>
    <xf numFmtId="0" fontId="3" fillId="2" borderId="25" xfId="5" applyFont="1" applyFill="1" applyBorder="1" applyAlignment="1">
      <alignment horizontal="center" vertical="center" wrapText="1"/>
    </xf>
    <xf numFmtId="1" fontId="18" fillId="2" borderId="25" xfId="5" applyNumberFormat="1" applyFont="1" applyFill="1" applyBorder="1" applyAlignment="1">
      <alignment horizontal="center" vertical="center"/>
    </xf>
    <xf numFmtId="169" fontId="18" fillId="2" borderId="25" xfId="5" applyNumberFormat="1" applyFont="1" applyFill="1" applyBorder="1" applyAlignment="1">
      <alignment horizontal="center" vertical="center"/>
    </xf>
    <xf numFmtId="10" fontId="3" fillId="2" borderId="25" xfId="1" applyNumberFormat="1" applyFont="1" applyFill="1" applyBorder="1" applyAlignment="1">
      <alignment horizontal="center" vertical="center"/>
    </xf>
    <xf numFmtId="0" fontId="19" fillId="2" borderId="25" xfId="5" applyFont="1" applyFill="1" applyBorder="1" applyAlignment="1">
      <alignment horizontal="left" vertical="center" wrapText="1"/>
    </xf>
    <xf numFmtId="10" fontId="19" fillId="2" borderId="25" xfId="1" applyNumberFormat="1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left" vertical="center" wrapText="1"/>
    </xf>
    <xf numFmtId="0" fontId="18" fillId="2" borderId="25" xfId="5" applyFont="1" applyFill="1" applyBorder="1" applyAlignment="1">
      <alignment horizontal="center" vertical="center" wrapText="1"/>
    </xf>
    <xf numFmtId="10" fontId="3" fillId="2" borderId="25" xfId="7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center" vertical="center"/>
    </xf>
    <xf numFmtId="9" fontId="3" fillId="2" borderId="25" xfId="1" applyFont="1" applyFill="1" applyBorder="1" applyAlignment="1">
      <alignment horizontal="center" vertical="center"/>
    </xf>
    <xf numFmtId="0" fontId="3" fillId="2" borderId="28" xfId="5" applyFont="1" applyFill="1" applyBorder="1" applyAlignment="1">
      <alignment horizontal="center" vertical="center" wrapText="1"/>
    </xf>
    <xf numFmtId="0" fontId="18" fillId="2" borderId="28" xfId="5" applyFont="1" applyFill="1" applyBorder="1" applyAlignment="1">
      <alignment horizontal="left" vertical="center" wrapText="1"/>
    </xf>
    <xf numFmtId="0" fontId="19" fillId="2" borderId="28" xfId="5" applyFont="1" applyFill="1" applyBorder="1" applyAlignment="1">
      <alignment horizontal="center" vertical="center" wrapText="1"/>
    </xf>
    <xf numFmtId="0" fontId="3" fillId="2" borderId="29" xfId="5" applyFont="1" applyFill="1" applyBorder="1" applyAlignment="1">
      <alignment horizontal="center" vertical="center" wrapText="1"/>
    </xf>
    <xf numFmtId="10" fontId="2" fillId="2" borderId="28" xfId="7" applyNumberFormat="1" applyFont="1" applyFill="1" applyBorder="1" applyAlignment="1">
      <alignment horizontal="center" vertical="center"/>
    </xf>
    <xf numFmtId="9" fontId="2" fillId="2" borderId="28" xfId="7" applyFont="1" applyFill="1" applyBorder="1" applyAlignment="1">
      <alignment horizontal="center" vertical="center"/>
    </xf>
    <xf numFmtId="169" fontId="2" fillId="2" borderId="28" xfId="7" applyNumberFormat="1" applyFont="1" applyFill="1" applyBorder="1" applyAlignment="1">
      <alignment horizontal="center" vertical="center"/>
    </xf>
    <xf numFmtId="166" fontId="2" fillId="2" borderId="28" xfId="7" applyNumberFormat="1" applyFont="1" applyFill="1" applyBorder="1" applyAlignment="1">
      <alignment horizontal="center" vertical="center"/>
    </xf>
    <xf numFmtId="171" fontId="2" fillId="2" borderId="28" xfId="7" applyNumberFormat="1" applyFont="1" applyFill="1" applyBorder="1" applyAlignment="1">
      <alignment horizontal="center" vertical="center"/>
    </xf>
    <xf numFmtId="0" fontId="2" fillId="2" borderId="28" xfId="7" applyNumberFormat="1" applyFont="1" applyFill="1" applyBorder="1" applyAlignment="1">
      <alignment horizontal="center" vertical="center"/>
    </xf>
    <xf numFmtId="3" fontId="2" fillId="2" borderId="28" xfId="7" applyNumberFormat="1" applyFont="1" applyFill="1" applyBorder="1" applyAlignment="1">
      <alignment horizontal="center" vertical="center"/>
    </xf>
    <xf numFmtId="2" fontId="19" fillId="2" borderId="28" xfId="7" applyNumberFormat="1" applyFont="1" applyFill="1" applyBorder="1" applyAlignment="1">
      <alignment horizontal="center" vertical="center"/>
    </xf>
    <xf numFmtId="2" fontId="3" fillId="2" borderId="28" xfId="7" applyNumberFormat="1" applyFont="1" applyFill="1" applyBorder="1" applyAlignment="1">
      <alignment horizontal="center" vertical="center"/>
    </xf>
    <xf numFmtId="2" fontId="3" fillId="2" borderId="29" xfId="7" applyNumberFormat="1" applyFont="1" applyFill="1" applyBorder="1" applyAlignment="1">
      <alignment horizontal="center" vertical="center"/>
    </xf>
    <xf numFmtId="0" fontId="23" fillId="5" borderId="6" xfId="5" applyFont="1" applyFill="1" applyBorder="1" applyAlignment="1">
      <alignment horizontal="center" vertical="center"/>
    </xf>
    <xf numFmtId="0" fontId="23" fillId="5" borderId="30" xfId="5" applyFont="1" applyFill="1" applyBorder="1" applyAlignment="1">
      <alignment horizontal="center" vertical="center"/>
    </xf>
    <xf numFmtId="0" fontId="19" fillId="0" borderId="27" xfId="5" applyFont="1" applyBorder="1" applyAlignment="1">
      <alignment horizontal="center" vertical="center"/>
    </xf>
    <xf numFmtId="0" fontId="18" fillId="0" borderId="28" xfId="5" applyFont="1" applyBorder="1" applyAlignment="1">
      <alignment horizontal="left" vertical="center"/>
    </xf>
    <xf numFmtId="0" fontId="19" fillId="0" borderId="28" xfId="5" applyFont="1" applyBorder="1" applyAlignment="1">
      <alignment horizontal="center" vertical="center"/>
    </xf>
    <xf numFmtId="169" fontId="2" fillId="0" borderId="28" xfId="8" applyNumberFormat="1" applyFont="1" applyFill="1" applyBorder="1" applyAlignment="1">
      <alignment horizontal="center" vertical="center"/>
    </xf>
    <xf numFmtId="0" fontId="18" fillId="0" borderId="28" xfId="5" applyFont="1" applyBorder="1" applyAlignment="1">
      <alignment horizontal="center" vertical="center"/>
    </xf>
    <xf numFmtId="169" fontId="18" fillId="0" borderId="28" xfId="5" applyNumberFormat="1" applyFont="1" applyBorder="1" applyAlignment="1">
      <alignment horizontal="center" vertical="center"/>
    </xf>
    <xf numFmtId="0" fontId="18" fillId="0" borderId="29" xfId="5" applyFont="1" applyBorder="1" applyAlignment="1">
      <alignment horizontal="left" vertical="center"/>
    </xf>
    <xf numFmtId="0" fontId="19" fillId="0" borderId="29" xfId="5" applyFont="1" applyBorder="1" applyAlignment="1">
      <alignment horizontal="center" vertical="center"/>
    </xf>
    <xf numFmtId="169" fontId="2" fillId="0" borderId="29" xfId="8" applyNumberFormat="1" applyFont="1" applyFill="1" applyBorder="1" applyAlignment="1">
      <alignment horizontal="center" vertical="center"/>
    </xf>
    <xf numFmtId="0" fontId="25" fillId="5" borderId="6" xfId="5" applyFont="1" applyFill="1" applyBorder="1" applyAlignment="1">
      <alignment horizontal="left" vertical="center"/>
    </xf>
    <xf numFmtId="0" fontId="26" fillId="5" borderId="6" xfId="5" applyFont="1" applyFill="1" applyBorder="1" applyAlignment="1">
      <alignment horizontal="center" vertical="center" wrapText="1"/>
    </xf>
    <xf numFmtId="0" fontId="25" fillId="5" borderId="30" xfId="5" applyFont="1" applyFill="1" applyBorder="1" applyAlignment="1">
      <alignment horizontal="left" vertical="center"/>
    </xf>
    <xf numFmtId="0" fontId="26" fillId="5" borderId="30" xfId="5" applyFont="1" applyFill="1" applyBorder="1" applyAlignment="1">
      <alignment horizontal="center" vertical="center" wrapText="1"/>
    </xf>
    <xf numFmtId="0" fontId="23" fillId="5" borderId="31" xfId="5" applyFont="1" applyFill="1" applyBorder="1" applyAlignment="1">
      <alignment horizontal="left" vertical="center" wrapText="1"/>
    </xf>
    <xf numFmtId="0" fontId="23" fillId="5" borderId="31" xfId="5" applyFont="1" applyFill="1" applyBorder="1" applyAlignment="1">
      <alignment horizontal="center" vertical="center"/>
    </xf>
    <xf numFmtId="164" fontId="15" fillId="5" borderId="31" xfId="8" applyFont="1" applyFill="1" applyBorder="1" applyAlignment="1">
      <alignment horizontal="center" vertical="center"/>
    </xf>
    <xf numFmtId="0" fontId="19" fillId="2" borderId="28" xfId="5" applyFont="1" applyFill="1" applyBorder="1" applyAlignment="1">
      <alignment horizontal="center" vertical="center"/>
    </xf>
    <xf numFmtId="166" fontId="2" fillId="2" borderId="28" xfId="6" applyNumberFormat="1" applyFont="1" applyFill="1" applyBorder="1" applyAlignment="1">
      <alignment horizontal="center" vertical="center"/>
    </xf>
    <xf numFmtId="169" fontId="2" fillId="2" borderId="28" xfId="8" applyNumberFormat="1" applyFont="1" applyFill="1" applyBorder="1" applyAlignment="1">
      <alignment horizontal="center" vertical="center"/>
    </xf>
    <xf numFmtId="0" fontId="18" fillId="2" borderId="28" xfId="5" applyFont="1" applyFill="1" applyBorder="1" applyAlignment="1">
      <alignment horizontal="center" vertical="center"/>
    </xf>
    <xf numFmtId="169" fontId="18" fillId="2" borderId="28" xfId="5" applyNumberFormat="1" applyFont="1" applyFill="1" applyBorder="1" applyAlignment="1">
      <alignment horizontal="center" vertical="center"/>
    </xf>
    <xf numFmtId="0" fontId="18" fillId="5" borderId="28" xfId="5" applyFont="1" applyFill="1" applyBorder="1" applyAlignment="1">
      <alignment horizontal="left" vertical="center"/>
    </xf>
    <xf numFmtId="0" fontId="23" fillId="4" borderId="19" xfId="5" applyFont="1" applyFill="1" applyBorder="1" applyAlignment="1">
      <alignment horizontal="center" vertical="center"/>
    </xf>
    <xf numFmtId="0" fontId="25" fillId="4" borderId="19" xfId="5" applyFont="1" applyFill="1" applyBorder="1" applyAlignment="1">
      <alignment horizontal="left" vertical="center"/>
    </xf>
    <xf numFmtId="0" fontId="26" fillId="4" borderId="19" xfId="5" applyFont="1" applyFill="1" applyBorder="1" applyAlignment="1">
      <alignment horizontal="center" vertical="center" wrapText="1"/>
    </xf>
    <xf numFmtId="0" fontId="23" fillId="5" borderId="0" xfId="5" applyFont="1" applyFill="1" applyAlignment="1">
      <alignment horizontal="left" vertical="center" wrapText="1"/>
    </xf>
    <xf numFmtId="0" fontId="23" fillId="5" borderId="0" xfId="5" applyFont="1" applyFill="1" applyAlignment="1">
      <alignment horizontal="center" vertical="center"/>
    </xf>
    <xf numFmtId="164" fontId="15" fillId="5" borderId="0" xfId="8" applyFont="1" applyFill="1" applyBorder="1" applyAlignment="1">
      <alignment horizontal="center" vertical="center"/>
    </xf>
    <xf numFmtId="0" fontId="22" fillId="4" borderId="16" xfId="5" applyFont="1" applyFill="1" applyBorder="1" applyAlignment="1">
      <alignment horizontal="left" vertical="center" wrapText="1"/>
    </xf>
    <xf numFmtId="0" fontId="22" fillId="4" borderId="16" xfId="5" applyFont="1" applyFill="1" applyBorder="1" applyAlignment="1">
      <alignment horizontal="center" vertical="center"/>
    </xf>
    <xf numFmtId="169" fontId="11" fillId="4" borderId="16" xfId="8" applyNumberFormat="1" applyFont="1" applyFill="1" applyBorder="1" applyAlignment="1">
      <alignment horizontal="center" vertical="center"/>
    </xf>
    <xf numFmtId="0" fontId="23" fillId="5" borderId="19" xfId="5" applyFont="1" applyFill="1" applyBorder="1" applyAlignment="1">
      <alignment horizontal="left" vertical="center"/>
    </xf>
    <xf numFmtId="0" fontId="23" fillId="5" borderId="19" xfId="5" applyFont="1" applyFill="1" applyBorder="1" applyAlignment="1">
      <alignment horizontal="center" vertical="center"/>
    </xf>
    <xf numFmtId="164" fontId="23" fillId="5" borderId="19" xfId="5" applyNumberFormat="1" applyFont="1" applyFill="1" applyBorder="1" applyAlignment="1">
      <alignment horizontal="center" vertical="center" wrapText="1"/>
    </xf>
    <xf numFmtId="0" fontId="10" fillId="4" borderId="34" xfId="5" applyFont="1" applyFill="1" applyBorder="1" applyAlignment="1">
      <alignment horizontal="left" vertical="center"/>
    </xf>
    <xf numFmtId="0" fontId="3" fillId="4" borderId="34" xfId="5" applyFont="1" applyFill="1" applyBorder="1" applyAlignment="1">
      <alignment horizontal="center" vertical="center"/>
    </xf>
    <xf numFmtId="0" fontId="20" fillId="4" borderId="34" xfId="5" applyFont="1" applyFill="1" applyBorder="1" applyAlignment="1">
      <alignment horizontal="center" vertical="center"/>
    </xf>
    <xf numFmtId="0" fontId="22" fillId="4" borderId="35" xfId="5" applyFont="1" applyFill="1" applyBorder="1" applyAlignment="1">
      <alignment horizontal="center" vertical="center"/>
    </xf>
    <xf numFmtId="169" fontId="22" fillId="4" borderId="35" xfId="5" applyNumberFormat="1" applyFont="1" applyFill="1" applyBorder="1" applyAlignment="1">
      <alignment horizontal="center" vertical="center"/>
    </xf>
    <xf numFmtId="0" fontId="23" fillId="5" borderId="25" xfId="5" applyFont="1" applyFill="1" applyBorder="1" applyAlignment="1">
      <alignment horizontal="left" vertical="center"/>
    </xf>
    <xf numFmtId="0" fontId="23" fillId="5" borderId="25" xfId="5" applyFont="1" applyFill="1" applyBorder="1" applyAlignment="1">
      <alignment horizontal="center" vertical="center"/>
    </xf>
    <xf numFmtId="169" fontId="15" fillId="5" borderId="25" xfId="8" applyNumberFormat="1" applyFont="1" applyFill="1" applyBorder="1" applyAlignment="1">
      <alignment horizontal="center" vertical="center"/>
    </xf>
    <xf numFmtId="0" fontId="23" fillId="5" borderId="26" xfId="5" applyFont="1" applyFill="1" applyBorder="1" applyAlignment="1">
      <alignment horizontal="left" vertical="center"/>
    </xf>
    <xf numFmtId="0" fontId="23" fillId="5" borderId="26" xfId="5" applyFont="1" applyFill="1" applyBorder="1" applyAlignment="1">
      <alignment horizontal="center" vertical="center"/>
    </xf>
    <xf numFmtId="169" fontId="15" fillId="5" borderId="26" xfId="8" applyNumberFormat="1" applyFont="1" applyFill="1" applyBorder="1" applyAlignment="1">
      <alignment horizontal="center" vertical="center"/>
    </xf>
    <xf numFmtId="0" fontId="10" fillId="5" borderId="24" xfId="5" applyFont="1" applyFill="1" applyBorder="1" applyAlignment="1">
      <alignment horizontal="left" vertical="center"/>
    </xf>
    <xf numFmtId="0" fontId="3" fillId="5" borderId="24" xfId="5" applyFont="1" applyFill="1" applyBorder="1" applyAlignment="1">
      <alignment horizontal="center" vertical="center"/>
    </xf>
    <xf numFmtId="0" fontId="20" fillId="5" borderId="24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left" vertical="center"/>
    </xf>
    <xf numFmtId="0" fontId="3" fillId="4" borderId="19" xfId="5" applyFont="1" applyFill="1" applyBorder="1" applyAlignment="1">
      <alignment horizontal="center" vertical="center"/>
    </xf>
    <xf numFmtId="0" fontId="20" fillId="4" borderId="19" xfId="5" applyFont="1" applyFill="1" applyBorder="1" applyAlignment="1">
      <alignment horizontal="center" vertical="center"/>
    </xf>
    <xf numFmtId="0" fontId="18" fillId="0" borderId="25" xfId="5" applyFont="1" applyBorder="1" applyAlignment="1">
      <alignment horizontal="left" vertical="center"/>
    </xf>
    <xf numFmtId="0" fontId="18" fillId="0" borderId="25" xfId="5" applyFont="1" applyBorder="1" applyAlignment="1">
      <alignment horizontal="center" vertical="center"/>
    </xf>
    <xf numFmtId="169" fontId="18" fillId="0" borderId="25" xfId="5" applyNumberFormat="1" applyFont="1" applyBorder="1" applyAlignment="1">
      <alignment horizontal="center" vertical="center"/>
    </xf>
    <xf numFmtId="0" fontId="18" fillId="0" borderId="25" xfId="5" applyFont="1" applyBorder="1" applyAlignment="1">
      <alignment horizontal="left" vertical="center" wrapText="1"/>
    </xf>
    <xf numFmtId="0" fontId="23" fillId="4" borderId="35" xfId="5" applyFont="1" applyFill="1" applyBorder="1" applyAlignment="1">
      <alignment horizontal="left" vertical="center"/>
    </xf>
    <xf numFmtId="0" fontId="23" fillId="4" borderId="35" xfId="5" applyFont="1" applyFill="1" applyBorder="1" applyAlignment="1">
      <alignment horizontal="center" vertical="center"/>
    </xf>
    <xf numFmtId="169" fontId="23" fillId="4" borderId="35" xfId="5" applyNumberFormat="1" applyFont="1" applyFill="1" applyBorder="1" applyAlignment="1">
      <alignment horizontal="center" vertical="center"/>
    </xf>
    <xf numFmtId="169" fontId="18" fillId="0" borderId="25" xfId="1" applyNumberFormat="1" applyFont="1" applyFill="1" applyBorder="1" applyAlignment="1">
      <alignment horizontal="center" vertical="center"/>
    </xf>
    <xf numFmtId="10" fontId="3" fillId="0" borderId="25" xfId="1" applyNumberFormat="1" applyFont="1" applyFill="1" applyBorder="1" applyAlignment="1">
      <alignment horizontal="center" vertical="center"/>
    </xf>
    <xf numFmtId="0" fontId="25" fillId="4" borderId="34" xfId="5" applyFont="1" applyFill="1" applyBorder="1" applyAlignment="1">
      <alignment horizontal="left" vertical="center"/>
    </xf>
    <xf numFmtId="0" fontId="25" fillId="4" borderId="34" xfId="5" applyFont="1" applyFill="1" applyBorder="1" applyAlignment="1">
      <alignment horizontal="center" vertical="center"/>
    </xf>
    <xf numFmtId="164" fontId="10" fillId="4" borderId="34" xfId="8" applyFont="1" applyFill="1" applyBorder="1" applyAlignment="1">
      <alignment horizontal="center" vertical="center"/>
    </xf>
    <xf numFmtId="0" fontId="27" fillId="4" borderId="35" xfId="5" applyFont="1" applyFill="1" applyBorder="1" applyAlignment="1">
      <alignment horizontal="left" vertical="center"/>
    </xf>
    <xf numFmtId="0" fontId="23" fillId="4" borderId="35" xfId="5" applyFont="1" applyFill="1" applyBorder="1" applyAlignment="1">
      <alignment horizontal="center" vertical="center" wrapText="1"/>
    </xf>
    <xf numFmtId="0" fontId="23" fillId="5" borderId="25" xfId="5" applyFont="1" applyFill="1" applyBorder="1" applyAlignment="1">
      <alignment horizontal="center" vertical="center" wrapText="1"/>
    </xf>
    <xf numFmtId="169" fontId="23" fillId="5" borderId="25" xfId="5" applyNumberFormat="1" applyFont="1" applyFill="1" applyBorder="1" applyAlignment="1">
      <alignment horizontal="center" vertical="center"/>
    </xf>
    <xf numFmtId="0" fontId="23" fillId="5" borderId="25" xfId="5" applyFont="1" applyFill="1" applyBorder="1" applyAlignment="1">
      <alignment horizontal="left" vertical="center" wrapText="1"/>
    </xf>
    <xf numFmtId="2" fontId="23" fillId="5" borderId="25" xfId="5" applyNumberFormat="1" applyFont="1" applyFill="1" applyBorder="1" applyAlignment="1">
      <alignment horizontal="center" vertical="center"/>
    </xf>
    <xf numFmtId="0" fontId="18" fillId="0" borderId="0" xfId="5" applyFont="1" applyAlignment="1">
      <alignment horizontal="right" vertical="center"/>
    </xf>
    <xf numFmtId="0" fontId="2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11" fillId="0" borderId="0" xfId="5" applyFont="1" applyAlignment="1">
      <alignment horizontal="left" vertical="center"/>
    </xf>
    <xf numFmtId="0" fontId="11" fillId="0" borderId="0" xfId="5" applyFont="1" applyAlignment="1">
      <alignment horizontal="center" vertical="center"/>
    </xf>
    <xf numFmtId="0" fontId="11" fillId="0" borderId="0" xfId="5" applyFont="1"/>
    <xf numFmtId="0" fontId="23" fillId="5" borderId="28" xfId="5" applyFont="1" applyFill="1" applyBorder="1" applyAlignment="1">
      <alignment horizontal="center" vertical="center"/>
    </xf>
    <xf numFmtId="0" fontId="23" fillId="5" borderId="28" xfId="5" applyFont="1" applyFill="1" applyBorder="1" applyAlignment="1">
      <alignment horizontal="left" vertical="center"/>
    </xf>
    <xf numFmtId="169" fontId="23" fillId="5" borderId="28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23" fillId="5" borderId="32" xfId="5" applyFont="1" applyFill="1" applyBorder="1" applyAlignment="1">
      <alignment horizontal="left" vertical="center"/>
    </xf>
    <xf numFmtId="0" fontId="18" fillId="5" borderId="29" xfId="5" applyFont="1" applyFill="1" applyBorder="1" applyAlignment="1">
      <alignment horizontal="left" vertical="center"/>
    </xf>
    <xf numFmtId="0" fontId="18" fillId="5" borderId="33" xfId="5" applyFont="1" applyFill="1" applyBorder="1" applyAlignment="1">
      <alignment horizontal="left" vertical="center"/>
    </xf>
    <xf numFmtId="0" fontId="23" fillId="4" borderId="19" xfId="5" applyFont="1" applyFill="1" applyBorder="1" applyAlignment="1">
      <alignment horizontal="left" vertical="center"/>
    </xf>
    <xf numFmtId="0" fontId="23" fillId="5" borderId="30" xfId="5" applyFont="1" applyFill="1" applyBorder="1" applyAlignment="1">
      <alignment horizontal="left" vertical="center"/>
    </xf>
    <xf numFmtId="0" fontId="18" fillId="5" borderId="27" xfId="5" applyFont="1" applyFill="1" applyBorder="1" applyAlignment="1">
      <alignment horizontal="left" vertical="center"/>
    </xf>
    <xf numFmtId="0" fontId="18" fillId="5" borderId="31" xfId="5" applyFont="1" applyFill="1" applyBorder="1" applyAlignment="1">
      <alignment horizontal="left" vertical="center"/>
    </xf>
    <xf numFmtId="0" fontId="18" fillId="5" borderId="30" xfId="5" applyFont="1" applyFill="1" applyBorder="1" applyAlignment="1">
      <alignment horizontal="left" vertical="center"/>
    </xf>
    <xf numFmtId="0" fontId="18" fillId="5" borderId="0" xfId="5" applyFont="1" applyFill="1" applyAlignment="1">
      <alignment horizontal="left" vertical="center"/>
    </xf>
    <xf numFmtId="0" fontId="18" fillId="5" borderId="6" xfId="5" applyFont="1" applyFill="1" applyBorder="1" applyAlignment="1">
      <alignment horizontal="left" vertical="center"/>
    </xf>
    <xf numFmtId="0" fontId="21" fillId="4" borderId="16" xfId="5" applyFont="1" applyFill="1" applyBorder="1" applyAlignment="1">
      <alignment horizontal="left" vertical="center"/>
    </xf>
    <xf numFmtId="0" fontId="3" fillId="4" borderId="19" xfId="5" applyFont="1" applyFill="1" applyBorder="1" applyAlignment="1">
      <alignment horizontal="left" vertical="center"/>
    </xf>
    <xf numFmtId="0" fontId="3" fillId="5" borderId="24" xfId="5" applyFont="1" applyFill="1" applyBorder="1" applyAlignment="1">
      <alignment horizontal="left" vertical="center"/>
    </xf>
    <xf numFmtId="0" fontId="18" fillId="5" borderId="25" xfId="5" applyFont="1" applyFill="1" applyBorder="1" applyAlignment="1">
      <alignment horizontal="left" vertical="center"/>
    </xf>
    <xf numFmtId="0" fontId="18" fillId="5" borderId="26" xfId="5" applyFont="1" applyFill="1" applyBorder="1" applyAlignment="1">
      <alignment horizontal="left" vertical="center"/>
    </xf>
    <xf numFmtId="0" fontId="18" fillId="5" borderId="24" xfId="5" applyFont="1" applyFill="1" applyBorder="1" applyAlignment="1">
      <alignment horizontal="left" vertical="center"/>
    </xf>
    <xf numFmtId="0" fontId="21" fillId="4" borderId="35" xfId="5" applyFont="1" applyFill="1" applyBorder="1" applyAlignment="1">
      <alignment horizontal="left" vertical="center"/>
    </xf>
    <xf numFmtId="0" fontId="3" fillId="4" borderId="34" xfId="5" applyFont="1" applyFill="1" applyBorder="1" applyAlignment="1">
      <alignment horizontal="left" vertical="center"/>
    </xf>
    <xf numFmtId="0" fontId="18" fillId="4" borderId="35" xfId="5" applyFont="1" applyFill="1" applyBorder="1" applyAlignment="1">
      <alignment horizontal="left" vertical="center"/>
    </xf>
    <xf numFmtId="0" fontId="18" fillId="4" borderId="34" xfId="5" applyFont="1" applyFill="1" applyBorder="1" applyAlignment="1">
      <alignment horizontal="left" vertical="center"/>
    </xf>
    <xf numFmtId="0" fontId="18" fillId="0" borderId="27" xfId="5" applyFont="1" applyBorder="1" applyAlignment="1">
      <alignment horizontal="left" vertical="center" wrapText="1"/>
    </xf>
    <xf numFmtId="0" fontId="18" fillId="0" borderId="28" xfId="5" applyFont="1" applyBorder="1" applyAlignment="1">
      <alignment horizontal="left" vertical="center" wrapText="1"/>
    </xf>
    <xf numFmtId="0" fontId="22" fillId="4" borderId="35" xfId="5" applyFont="1" applyFill="1" applyBorder="1" applyAlignment="1">
      <alignment horizontal="left" vertical="center" wrapText="1"/>
    </xf>
    <xf numFmtId="0" fontId="3" fillId="2" borderId="28" xfId="5" applyFont="1" applyFill="1" applyBorder="1" applyAlignment="1">
      <alignment horizontal="left" vertical="center" wrapText="1"/>
    </xf>
    <xf numFmtId="169" fontId="3" fillId="0" borderId="28" xfId="7" applyNumberFormat="1" applyFont="1" applyFill="1" applyBorder="1" applyAlignment="1">
      <alignment horizontal="center" vertical="center"/>
    </xf>
    <xf numFmtId="0" fontId="3" fillId="2" borderId="36" xfId="5" applyFont="1" applyFill="1" applyBorder="1" applyAlignment="1">
      <alignment horizontal="left" vertical="center" wrapText="1"/>
    </xf>
    <xf numFmtId="0" fontId="18" fillId="2" borderId="36" xfId="5" applyFont="1" applyFill="1" applyBorder="1" applyAlignment="1">
      <alignment horizontal="center" vertical="center" wrapText="1"/>
    </xf>
    <xf numFmtId="169" fontId="2" fillId="0" borderId="28" xfId="7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3" fontId="7" fillId="0" borderId="5" xfId="0" applyNumberFormat="1" applyFont="1" applyBorder="1" applyAlignment="1">
      <alignment horizontal="center" vertical="center"/>
    </xf>
    <xf numFmtId="44" fontId="8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vertical="center"/>
    </xf>
    <xf numFmtId="2" fontId="3" fillId="0" borderId="25" xfId="5" applyNumberFormat="1" applyFont="1" applyBorder="1" applyAlignment="1">
      <alignment horizontal="center" vertical="center"/>
    </xf>
    <xf numFmtId="169" fontId="3" fillId="0" borderId="36" xfId="5" applyNumberFormat="1" applyFont="1" applyBorder="1" applyAlignment="1">
      <alignment horizontal="center" vertical="center"/>
    </xf>
    <xf numFmtId="0" fontId="3" fillId="0" borderId="0" xfId="5" applyFont="1" applyAlignment="1">
      <alignment horizontal="left" vertical="center" wrapText="1"/>
    </xf>
    <xf numFmtId="0" fontId="18" fillId="0" borderId="0" xfId="5" applyFont="1" applyAlignment="1">
      <alignment horizontal="center" vertical="center" wrapText="1"/>
    </xf>
    <xf numFmtId="169" fontId="3" fillId="0" borderId="0" xfId="7" applyNumberFormat="1" applyFont="1" applyFill="1" applyAlignment="1">
      <alignment horizontal="center" vertical="center"/>
    </xf>
    <xf numFmtId="2" fontId="2" fillId="0" borderId="28" xfId="7" applyNumberFormat="1" applyFont="1" applyFill="1" applyBorder="1" applyAlignment="1">
      <alignment horizontal="center" vertical="center"/>
    </xf>
    <xf numFmtId="10" fontId="3" fillId="4" borderId="21" xfId="2" applyNumberFormat="1" applyFont="1" applyFill="1" applyBorder="1" applyAlignment="1">
      <alignment horizontal="center" vertical="center"/>
    </xf>
    <xf numFmtId="10" fontId="3" fillId="4" borderId="7" xfId="2" applyNumberFormat="1" applyFont="1" applyFill="1" applyBorder="1" applyAlignment="1">
      <alignment horizontal="center" vertical="center"/>
    </xf>
    <xf numFmtId="169" fontId="31" fillId="0" borderId="0" xfId="5" applyNumberFormat="1" applyFont="1"/>
    <xf numFmtId="3" fontId="3" fillId="2" borderId="29" xfId="9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horizontal="center" vertical="center"/>
    </xf>
    <xf numFmtId="9" fontId="2" fillId="0" borderId="28" xfId="1" applyFont="1" applyFill="1" applyBorder="1" applyAlignment="1">
      <alignment horizontal="center" vertical="center"/>
    </xf>
    <xf numFmtId="0" fontId="3" fillId="0" borderId="29" xfId="5" applyFont="1" applyBorder="1" applyAlignment="1">
      <alignment horizontal="center" vertical="center" wrapText="1"/>
    </xf>
    <xf numFmtId="0" fontId="3" fillId="2" borderId="29" xfId="5" applyFont="1" applyFill="1" applyBorder="1" applyAlignment="1">
      <alignment horizontal="left" vertical="center" wrapText="1"/>
    </xf>
    <xf numFmtId="169" fontId="28" fillId="0" borderId="28" xfId="7" applyNumberFormat="1" applyFont="1" applyFill="1" applyBorder="1" applyAlignment="1">
      <alignment horizontal="center" vertical="center"/>
    </xf>
    <xf numFmtId="2" fontId="2" fillId="0" borderId="27" xfId="8" applyNumberFormat="1" applyFont="1" applyFill="1" applyBorder="1" applyAlignment="1">
      <alignment horizontal="center" vertical="center"/>
    </xf>
    <xf numFmtId="2" fontId="2" fillId="0" borderId="27" xfId="6" applyNumberFormat="1" applyFont="1" applyFill="1" applyBorder="1" applyAlignment="1">
      <alignment horizontal="center" vertical="center"/>
    </xf>
    <xf numFmtId="14" fontId="2" fillId="0" borderId="0" xfId="2" applyNumberFormat="1" applyAlignment="1">
      <alignment horizontal="center"/>
    </xf>
    <xf numFmtId="14" fontId="0" fillId="0" borderId="0" xfId="0" applyNumberFormat="1"/>
    <xf numFmtId="44" fontId="3" fillId="0" borderId="13" xfId="11" applyFont="1" applyBorder="1"/>
    <xf numFmtId="4" fontId="31" fillId="0" borderId="0" xfId="5" applyNumberFormat="1" applyFont="1" applyAlignment="1">
      <alignment vertical="center"/>
    </xf>
    <xf numFmtId="0" fontId="36" fillId="0" borderId="0" xfId="0" applyFont="1"/>
    <xf numFmtId="0" fontId="36" fillId="6" borderId="41" xfId="0" applyFont="1" applyFill="1" applyBorder="1" applyAlignment="1">
      <alignment horizontal="right" vertical="top" wrapText="1"/>
    </xf>
    <xf numFmtId="0" fontId="3" fillId="5" borderId="28" xfId="5" applyFont="1" applyFill="1" applyBorder="1" applyAlignment="1">
      <alignment horizontal="left" vertical="center"/>
    </xf>
    <xf numFmtId="169" fontId="3" fillId="2" borderId="25" xfId="6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 wrapText="1"/>
    </xf>
    <xf numFmtId="170" fontId="18" fillId="0" borderId="0" xfId="5" applyNumberFormat="1" applyFont="1" applyAlignment="1">
      <alignment horizontal="left" vertical="center"/>
    </xf>
    <xf numFmtId="0" fontId="11" fillId="3" borderId="0" xfId="5" applyFont="1" applyFill="1" applyAlignment="1">
      <alignment horizontal="center"/>
    </xf>
    <xf numFmtId="0" fontId="24" fillId="5" borderId="33" xfId="5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9" fontId="20" fillId="0" borderId="23" xfId="4" applyFont="1" applyBorder="1" applyAlignment="1">
      <alignment horizontal="center"/>
    </xf>
    <xf numFmtId="9" fontId="20" fillId="0" borderId="22" xfId="4" applyFont="1" applyBorder="1" applyAlignment="1">
      <alignment horizontal="center"/>
    </xf>
    <xf numFmtId="9" fontId="20" fillId="0" borderId="21" xfId="4" applyFont="1" applyBorder="1" applyAlignment="1">
      <alignment horizont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left" wrapText="1"/>
    </xf>
  </cellXfs>
  <cellStyles count="12">
    <cellStyle name="Moeda" xfId="11" builtinId="4"/>
    <cellStyle name="Moeda 2" xfId="8" xr:uid="{00000000-0005-0000-0000-000000000000}"/>
    <cellStyle name="Normal" xfId="0" builtinId="0"/>
    <cellStyle name="Normal 2" xfId="2" xr:uid="{00000000-0005-0000-0000-000002000000}"/>
    <cellStyle name="Normal 3" xfId="5" xr:uid="{00000000-0005-0000-0000-000003000000}"/>
    <cellStyle name="Normal 4" xfId="10" xr:uid="{30B14765-CF7E-44FD-9D9A-C0FB7DCA6B22}"/>
    <cellStyle name="Porcentagem" xfId="1" builtinId="5"/>
    <cellStyle name="Porcentagem 2" xfId="4" xr:uid="{00000000-0005-0000-0000-000005000000}"/>
    <cellStyle name="Porcentagem 3" xfId="7" xr:uid="{00000000-0005-0000-0000-000006000000}"/>
    <cellStyle name="Separador de milhares 2" xfId="6" xr:uid="{00000000-0005-0000-0000-000008000000}"/>
    <cellStyle name="Vírgula" xfId="9" builtinId="3"/>
    <cellStyle name="Vírgula 2" xfId="3" xr:uid="{00000000-0005-0000-0000-000009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57150</xdr:colOff>
          <xdr:row>0</xdr:row>
          <xdr:rowOff>19050</xdr:rowOff>
        </xdr:from>
        <xdr:to>
          <xdr:col>3</xdr:col>
          <xdr:colOff>152400</xdr:colOff>
          <xdr:row>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33132</xdr:colOff>
      <xdr:row>1</xdr:row>
      <xdr:rowOff>20436</xdr:rowOff>
    </xdr:from>
    <xdr:to>
      <xdr:col>9</xdr:col>
      <xdr:colOff>463825</xdr:colOff>
      <xdr:row>33</xdr:row>
      <xdr:rowOff>159132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610" y="335175"/>
          <a:ext cx="5333998" cy="623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1</xdr:row>
      <xdr:rowOff>19049</xdr:rowOff>
    </xdr:from>
    <xdr:to>
      <xdr:col>10</xdr:col>
      <xdr:colOff>101600</xdr:colOff>
      <xdr:row>24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06" t="6188" r="1090" b="1493"/>
        <a:stretch/>
      </xdr:blipFill>
      <xdr:spPr>
        <a:xfrm>
          <a:off x="111125" y="352424"/>
          <a:ext cx="5451475" cy="438150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27</xdr:row>
      <xdr:rowOff>9525</xdr:rowOff>
    </xdr:from>
    <xdr:to>
      <xdr:col>10</xdr:col>
      <xdr:colOff>19050</xdr:colOff>
      <xdr:row>43</xdr:row>
      <xdr:rowOff>60284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17" t="988" r="430"/>
        <a:stretch/>
      </xdr:blipFill>
      <xdr:spPr>
        <a:xfrm>
          <a:off x="47625" y="5676900"/>
          <a:ext cx="5495925" cy="31940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1</xdr:row>
      <xdr:rowOff>0</xdr:rowOff>
    </xdr:from>
    <xdr:to>
      <xdr:col>9</xdr:col>
      <xdr:colOff>266701</xdr:colOff>
      <xdr:row>34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202511" y="339587"/>
          <a:ext cx="5340212" cy="6286500"/>
          <a:chOff x="7839075" y="0"/>
          <a:chExt cx="6628571" cy="761031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839075" y="0"/>
            <a:ext cx="6628571" cy="6438095"/>
          </a:xfrm>
          <a:prstGeom prst="rect">
            <a:avLst/>
          </a:prstGeom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5303"/>
          <a:stretch/>
        </xdr:blipFill>
        <xdr:spPr>
          <a:xfrm>
            <a:off x="7858125" y="6419850"/>
            <a:ext cx="6590476" cy="119046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17"/>
  <sheetViews>
    <sheetView tabSelected="1" view="pageBreakPreview" topLeftCell="A103" zoomScale="85" zoomScaleNormal="90" zoomScaleSheetLayoutView="85" workbookViewId="0">
      <selection activeCell="E113" sqref="E113:F113"/>
    </sheetView>
  </sheetViews>
  <sheetFormatPr defaultRowHeight="15" x14ac:dyDescent="0.25"/>
  <cols>
    <col min="1" max="1" width="3.5703125" style="10" customWidth="1"/>
    <col min="2" max="2" width="2.42578125" style="10" customWidth="1"/>
    <col min="3" max="3" width="5.85546875" style="18" customWidth="1"/>
    <col min="4" max="4" width="42.28515625" style="18" customWidth="1"/>
    <col min="5" max="5" width="56.42578125" style="16" customWidth="1"/>
    <col min="6" max="6" width="16" style="16" customWidth="1"/>
    <col min="7" max="7" width="19.140625" style="10" customWidth="1"/>
    <col min="8" max="8" width="13.7109375" style="10" customWidth="1"/>
    <col min="9" max="9" width="10" style="10" bestFit="1" customWidth="1"/>
    <col min="10" max="10" width="13.28515625" style="10" bestFit="1" customWidth="1"/>
    <col min="11" max="11" width="11.5703125" style="10" bestFit="1" customWidth="1"/>
    <col min="12" max="12" width="9.140625" style="10"/>
    <col min="13" max="13" width="13.85546875" style="10" customWidth="1"/>
    <col min="14" max="14" width="24.85546875" style="10" customWidth="1"/>
    <col min="15" max="15" width="30" style="10" customWidth="1"/>
    <col min="16" max="16" width="14.7109375" style="10" bestFit="1" customWidth="1"/>
    <col min="17" max="255" width="9.140625" style="10"/>
    <col min="256" max="256" width="2.42578125" style="10" customWidth="1"/>
    <col min="257" max="257" width="5.28515625" style="10" customWidth="1"/>
    <col min="258" max="258" width="53.5703125" style="10" customWidth="1"/>
    <col min="259" max="259" width="5.42578125" style="10" customWidth="1"/>
    <col min="260" max="260" width="36.28515625" style="10" customWidth="1"/>
    <col min="261" max="261" width="14.28515625" style="10" customWidth="1"/>
    <col min="262" max="262" width="15.140625" style="10" customWidth="1"/>
    <col min="263" max="263" width="13.5703125" style="10" bestFit="1" customWidth="1"/>
    <col min="264" max="264" width="13.42578125" style="10" bestFit="1" customWidth="1"/>
    <col min="265" max="266" width="9.140625" style="10"/>
    <col min="267" max="267" width="11.5703125" style="10" bestFit="1" customWidth="1"/>
    <col min="268" max="268" width="9.140625" style="10"/>
    <col min="269" max="269" width="13.85546875" style="10" customWidth="1"/>
    <col min="270" max="511" width="9.140625" style="10"/>
    <col min="512" max="512" width="2.42578125" style="10" customWidth="1"/>
    <col min="513" max="513" width="5.28515625" style="10" customWidth="1"/>
    <col min="514" max="514" width="53.5703125" style="10" customWidth="1"/>
    <col min="515" max="515" width="5.42578125" style="10" customWidth="1"/>
    <col min="516" max="516" width="36.28515625" style="10" customWidth="1"/>
    <col min="517" max="517" width="14.28515625" style="10" customWidth="1"/>
    <col min="518" max="518" width="15.140625" style="10" customWidth="1"/>
    <col min="519" max="519" width="13.5703125" style="10" bestFit="1" customWidth="1"/>
    <col min="520" max="520" width="13.42578125" style="10" bestFit="1" customWidth="1"/>
    <col min="521" max="522" width="9.140625" style="10"/>
    <col min="523" max="523" width="11.5703125" style="10" bestFit="1" customWidth="1"/>
    <col min="524" max="524" width="9.140625" style="10"/>
    <col min="525" max="525" width="13.85546875" style="10" customWidth="1"/>
    <col min="526" max="767" width="9.140625" style="10"/>
    <col min="768" max="768" width="2.42578125" style="10" customWidth="1"/>
    <col min="769" max="769" width="5.28515625" style="10" customWidth="1"/>
    <col min="770" max="770" width="53.5703125" style="10" customWidth="1"/>
    <col min="771" max="771" width="5.42578125" style="10" customWidth="1"/>
    <col min="772" max="772" width="36.28515625" style="10" customWidth="1"/>
    <col min="773" max="773" width="14.28515625" style="10" customWidth="1"/>
    <col min="774" max="774" width="15.140625" style="10" customWidth="1"/>
    <col min="775" max="775" width="13.5703125" style="10" bestFit="1" customWidth="1"/>
    <col min="776" max="776" width="13.42578125" style="10" bestFit="1" customWidth="1"/>
    <col min="777" max="778" width="9.140625" style="10"/>
    <col min="779" max="779" width="11.5703125" style="10" bestFit="1" customWidth="1"/>
    <col min="780" max="780" width="9.140625" style="10"/>
    <col min="781" max="781" width="13.85546875" style="10" customWidth="1"/>
    <col min="782" max="1023" width="9.140625" style="10"/>
    <col min="1024" max="1024" width="2.42578125" style="10" customWidth="1"/>
    <col min="1025" max="1025" width="5.28515625" style="10" customWidth="1"/>
    <col min="1026" max="1026" width="53.5703125" style="10" customWidth="1"/>
    <col min="1027" max="1027" width="5.42578125" style="10" customWidth="1"/>
    <col min="1028" max="1028" width="36.28515625" style="10" customWidth="1"/>
    <col min="1029" max="1029" width="14.28515625" style="10" customWidth="1"/>
    <col min="1030" max="1030" width="15.140625" style="10" customWidth="1"/>
    <col min="1031" max="1031" width="13.5703125" style="10" bestFit="1" customWidth="1"/>
    <col min="1032" max="1032" width="13.42578125" style="10" bestFit="1" customWidth="1"/>
    <col min="1033" max="1034" width="9.140625" style="10"/>
    <col min="1035" max="1035" width="11.5703125" style="10" bestFit="1" customWidth="1"/>
    <col min="1036" max="1036" width="9.140625" style="10"/>
    <col min="1037" max="1037" width="13.85546875" style="10" customWidth="1"/>
    <col min="1038" max="1279" width="9.140625" style="10"/>
    <col min="1280" max="1280" width="2.42578125" style="10" customWidth="1"/>
    <col min="1281" max="1281" width="5.28515625" style="10" customWidth="1"/>
    <col min="1282" max="1282" width="53.5703125" style="10" customWidth="1"/>
    <col min="1283" max="1283" width="5.42578125" style="10" customWidth="1"/>
    <col min="1284" max="1284" width="36.28515625" style="10" customWidth="1"/>
    <col min="1285" max="1285" width="14.28515625" style="10" customWidth="1"/>
    <col min="1286" max="1286" width="15.140625" style="10" customWidth="1"/>
    <col min="1287" max="1287" width="13.5703125" style="10" bestFit="1" customWidth="1"/>
    <col min="1288" max="1288" width="13.42578125" style="10" bestFit="1" customWidth="1"/>
    <col min="1289" max="1290" width="9.140625" style="10"/>
    <col min="1291" max="1291" width="11.5703125" style="10" bestFit="1" customWidth="1"/>
    <col min="1292" max="1292" width="9.140625" style="10"/>
    <col min="1293" max="1293" width="13.85546875" style="10" customWidth="1"/>
    <col min="1294" max="1535" width="9.140625" style="10"/>
    <col min="1536" max="1536" width="2.42578125" style="10" customWidth="1"/>
    <col min="1537" max="1537" width="5.28515625" style="10" customWidth="1"/>
    <col min="1538" max="1538" width="53.5703125" style="10" customWidth="1"/>
    <col min="1539" max="1539" width="5.42578125" style="10" customWidth="1"/>
    <col min="1540" max="1540" width="36.28515625" style="10" customWidth="1"/>
    <col min="1541" max="1541" width="14.28515625" style="10" customWidth="1"/>
    <col min="1542" max="1542" width="15.140625" style="10" customWidth="1"/>
    <col min="1543" max="1543" width="13.5703125" style="10" bestFit="1" customWidth="1"/>
    <col min="1544" max="1544" width="13.42578125" style="10" bestFit="1" customWidth="1"/>
    <col min="1545" max="1546" width="9.140625" style="10"/>
    <col min="1547" max="1547" width="11.5703125" style="10" bestFit="1" customWidth="1"/>
    <col min="1548" max="1548" width="9.140625" style="10"/>
    <col min="1549" max="1549" width="13.85546875" style="10" customWidth="1"/>
    <col min="1550" max="1791" width="9.140625" style="10"/>
    <col min="1792" max="1792" width="2.42578125" style="10" customWidth="1"/>
    <col min="1793" max="1793" width="5.28515625" style="10" customWidth="1"/>
    <col min="1794" max="1794" width="53.5703125" style="10" customWidth="1"/>
    <col min="1795" max="1795" width="5.42578125" style="10" customWidth="1"/>
    <col min="1796" max="1796" width="36.28515625" style="10" customWidth="1"/>
    <col min="1797" max="1797" width="14.28515625" style="10" customWidth="1"/>
    <col min="1798" max="1798" width="15.140625" style="10" customWidth="1"/>
    <col min="1799" max="1799" width="13.5703125" style="10" bestFit="1" customWidth="1"/>
    <col min="1800" max="1800" width="13.42578125" style="10" bestFit="1" customWidth="1"/>
    <col min="1801" max="1802" width="9.140625" style="10"/>
    <col min="1803" max="1803" width="11.5703125" style="10" bestFit="1" customWidth="1"/>
    <col min="1804" max="1804" width="9.140625" style="10"/>
    <col min="1805" max="1805" width="13.85546875" style="10" customWidth="1"/>
    <col min="1806" max="2047" width="9.140625" style="10"/>
    <col min="2048" max="2048" width="2.42578125" style="10" customWidth="1"/>
    <col min="2049" max="2049" width="5.28515625" style="10" customWidth="1"/>
    <col min="2050" max="2050" width="53.5703125" style="10" customWidth="1"/>
    <col min="2051" max="2051" width="5.42578125" style="10" customWidth="1"/>
    <col min="2052" max="2052" width="36.28515625" style="10" customWidth="1"/>
    <col min="2053" max="2053" width="14.28515625" style="10" customWidth="1"/>
    <col min="2054" max="2054" width="15.140625" style="10" customWidth="1"/>
    <col min="2055" max="2055" width="13.5703125" style="10" bestFit="1" customWidth="1"/>
    <col min="2056" max="2056" width="13.42578125" style="10" bestFit="1" customWidth="1"/>
    <col min="2057" max="2058" width="9.140625" style="10"/>
    <col min="2059" max="2059" width="11.5703125" style="10" bestFit="1" customWidth="1"/>
    <col min="2060" max="2060" width="9.140625" style="10"/>
    <col min="2061" max="2061" width="13.85546875" style="10" customWidth="1"/>
    <col min="2062" max="2303" width="9.140625" style="10"/>
    <col min="2304" max="2304" width="2.42578125" style="10" customWidth="1"/>
    <col min="2305" max="2305" width="5.28515625" style="10" customWidth="1"/>
    <col min="2306" max="2306" width="53.5703125" style="10" customWidth="1"/>
    <col min="2307" max="2307" width="5.42578125" style="10" customWidth="1"/>
    <col min="2308" max="2308" width="36.28515625" style="10" customWidth="1"/>
    <col min="2309" max="2309" width="14.28515625" style="10" customWidth="1"/>
    <col min="2310" max="2310" width="15.140625" style="10" customWidth="1"/>
    <col min="2311" max="2311" width="13.5703125" style="10" bestFit="1" customWidth="1"/>
    <col min="2312" max="2312" width="13.42578125" style="10" bestFit="1" customWidth="1"/>
    <col min="2313" max="2314" width="9.140625" style="10"/>
    <col min="2315" max="2315" width="11.5703125" style="10" bestFit="1" customWidth="1"/>
    <col min="2316" max="2316" width="9.140625" style="10"/>
    <col min="2317" max="2317" width="13.85546875" style="10" customWidth="1"/>
    <col min="2318" max="2559" width="9.140625" style="10"/>
    <col min="2560" max="2560" width="2.42578125" style="10" customWidth="1"/>
    <col min="2561" max="2561" width="5.28515625" style="10" customWidth="1"/>
    <col min="2562" max="2562" width="53.5703125" style="10" customWidth="1"/>
    <col min="2563" max="2563" width="5.42578125" style="10" customWidth="1"/>
    <col min="2564" max="2564" width="36.28515625" style="10" customWidth="1"/>
    <col min="2565" max="2565" width="14.28515625" style="10" customWidth="1"/>
    <col min="2566" max="2566" width="15.140625" style="10" customWidth="1"/>
    <col min="2567" max="2567" width="13.5703125" style="10" bestFit="1" customWidth="1"/>
    <col min="2568" max="2568" width="13.42578125" style="10" bestFit="1" customWidth="1"/>
    <col min="2569" max="2570" width="9.140625" style="10"/>
    <col min="2571" max="2571" width="11.5703125" style="10" bestFit="1" customWidth="1"/>
    <col min="2572" max="2572" width="9.140625" style="10"/>
    <col min="2573" max="2573" width="13.85546875" style="10" customWidth="1"/>
    <col min="2574" max="2815" width="9.140625" style="10"/>
    <col min="2816" max="2816" width="2.42578125" style="10" customWidth="1"/>
    <col min="2817" max="2817" width="5.28515625" style="10" customWidth="1"/>
    <col min="2818" max="2818" width="53.5703125" style="10" customWidth="1"/>
    <col min="2819" max="2819" width="5.42578125" style="10" customWidth="1"/>
    <col min="2820" max="2820" width="36.28515625" style="10" customWidth="1"/>
    <col min="2821" max="2821" width="14.28515625" style="10" customWidth="1"/>
    <col min="2822" max="2822" width="15.140625" style="10" customWidth="1"/>
    <col min="2823" max="2823" width="13.5703125" style="10" bestFit="1" customWidth="1"/>
    <col min="2824" max="2824" width="13.42578125" style="10" bestFit="1" customWidth="1"/>
    <col min="2825" max="2826" width="9.140625" style="10"/>
    <col min="2827" max="2827" width="11.5703125" style="10" bestFit="1" customWidth="1"/>
    <col min="2828" max="2828" width="9.140625" style="10"/>
    <col min="2829" max="2829" width="13.85546875" style="10" customWidth="1"/>
    <col min="2830" max="3071" width="9.140625" style="10"/>
    <col min="3072" max="3072" width="2.42578125" style="10" customWidth="1"/>
    <col min="3073" max="3073" width="5.28515625" style="10" customWidth="1"/>
    <col min="3074" max="3074" width="53.5703125" style="10" customWidth="1"/>
    <col min="3075" max="3075" width="5.42578125" style="10" customWidth="1"/>
    <col min="3076" max="3076" width="36.28515625" style="10" customWidth="1"/>
    <col min="3077" max="3077" width="14.28515625" style="10" customWidth="1"/>
    <col min="3078" max="3078" width="15.140625" style="10" customWidth="1"/>
    <col min="3079" max="3079" width="13.5703125" style="10" bestFit="1" customWidth="1"/>
    <col min="3080" max="3080" width="13.42578125" style="10" bestFit="1" customWidth="1"/>
    <col min="3081" max="3082" width="9.140625" style="10"/>
    <col min="3083" max="3083" width="11.5703125" style="10" bestFit="1" customWidth="1"/>
    <col min="3084" max="3084" width="9.140625" style="10"/>
    <col min="3085" max="3085" width="13.85546875" style="10" customWidth="1"/>
    <col min="3086" max="3327" width="9.140625" style="10"/>
    <col min="3328" max="3328" width="2.42578125" style="10" customWidth="1"/>
    <col min="3329" max="3329" width="5.28515625" style="10" customWidth="1"/>
    <col min="3330" max="3330" width="53.5703125" style="10" customWidth="1"/>
    <col min="3331" max="3331" width="5.42578125" style="10" customWidth="1"/>
    <col min="3332" max="3332" width="36.28515625" style="10" customWidth="1"/>
    <col min="3333" max="3333" width="14.28515625" style="10" customWidth="1"/>
    <col min="3334" max="3334" width="15.140625" style="10" customWidth="1"/>
    <col min="3335" max="3335" width="13.5703125" style="10" bestFit="1" customWidth="1"/>
    <col min="3336" max="3336" width="13.42578125" style="10" bestFit="1" customWidth="1"/>
    <col min="3337" max="3338" width="9.140625" style="10"/>
    <col min="3339" max="3339" width="11.5703125" style="10" bestFit="1" customWidth="1"/>
    <col min="3340" max="3340" width="9.140625" style="10"/>
    <col min="3341" max="3341" width="13.85546875" style="10" customWidth="1"/>
    <col min="3342" max="3583" width="9.140625" style="10"/>
    <col min="3584" max="3584" width="2.42578125" style="10" customWidth="1"/>
    <col min="3585" max="3585" width="5.28515625" style="10" customWidth="1"/>
    <col min="3586" max="3586" width="53.5703125" style="10" customWidth="1"/>
    <col min="3587" max="3587" width="5.42578125" style="10" customWidth="1"/>
    <col min="3588" max="3588" width="36.28515625" style="10" customWidth="1"/>
    <col min="3589" max="3589" width="14.28515625" style="10" customWidth="1"/>
    <col min="3590" max="3590" width="15.140625" style="10" customWidth="1"/>
    <col min="3591" max="3591" width="13.5703125" style="10" bestFit="1" customWidth="1"/>
    <col min="3592" max="3592" width="13.42578125" style="10" bestFit="1" customWidth="1"/>
    <col min="3593" max="3594" width="9.140625" style="10"/>
    <col min="3595" max="3595" width="11.5703125" style="10" bestFit="1" customWidth="1"/>
    <col min="3596" max="3596" width="9.140625" style="10"/>
    <col min="3597" max="3597" width="13.85546875" style="10" customWidth="1"/>
    <col min="3598" max="3839" width="9.140625" style="10"/>
    <col min="3840" max="3840" width="2.42578125" style="10" customWidth="1"/>
    <col min="3841" max="3841" width="5.28515625" style="10" customWidth="1"/>
    <col min="3842" max="3842" width="53.5703125" style="10" customWidth="1"/>
    <col min="3843" max="3843" width="5.42578125" style="10" customWidth="1"/>
    <col min="3844" max="3844" width="36.28515625" style="10" customWidth="1"/>
    <col min="3845" max="3845" width="14.28515625" style="10" customWidth="1"/>
    <col min="3846" max="3846" width="15.140625" style="10" customWidth="1"/>
    <col min="3847" max="3847" width="13.5703125" style="10" bestFit="1" customWidth="1"/>
    <col min="3848" max="3848" width="13.42578125" style="10" bestFit="1" customWidth="1"/>
    <col min="3849" max="3850" width="9.140625" style="10"/>
    <col min="3851" max="3851" width="11.5703125" style="10" bestFit="1" customWidth="1"/>
    <col min="3852" max="3852" width="9.140625" style="10"/>
    <col min="3853" max="3853" width="13.85546875" style="10" customWidth="1"/>
    <col min="3854" max="4095" width="9.140625" style="10"/>
    <col min="4096" max="4096" width="2.42578125" style="10" customWidth="1"/>
    <col min="4097" max="4097" width="5.28515625" style="10" customWidth="1"/>
    <col min="4098" max="4098" width="53.5703125" style="10" customWidth="1"/>
    <col min="4099" max="4099" width="5.42578125" style="10" customWidth="1"/>
    <col min="4100" max="4100" width="36.28515625" style="10" customWidth="1"/>
    <col min="4101" max="4101" width="14.28515625" style="10" customWidth="1"/>
    <col min="4102" max="4102" width="15.140625" style="10" customWidth="1"/>
    <col min="4103" max="4103" width="13.5703125" style="10" bestFit="1" customWidth="1"/>
    <col min="4104" max="4104" width="13.42578125" style="10" bestFit="1" customWidth="1"/>
    <col min="4105" max="4106" width="9.140625" style="10"/>
    <col min="4107" max="4107" width="11.5703125" style="10" bestFit="1" customWidth="1"/>
    <col min="4108" max="4108" width="9.140625" style="10"/>
    <col min="4109" max="4109" width="13.85546875" style="10" customWidth="1"/>
    <col min="4110" max="4351" width="9.140625" style="10"/>
    <col min="4352" max="4352" width="2.42578125" style="10" customWidth="1"/>
    <col min="4353" max="4353" width="5.28515625" style="10" customWidth="1"/>
    <col min="4354" max="4354" width="53.5703125" style="10" customWidth="1"/>
    <col min="4355" max="4355" width="5.42578125" style="10" customWidth="1"/>
    <col min="4356" max="4356" width="36.28515625" style="10" customWidth="1"/>
    <col min="4357" max="4357" width="14.28515625" style="10" customWidth="1"/>
    <col min="4358" max="4358" width="15.140625" style="10" customWidth="1"/>
    <col min="4359" max="4359" width="13.5703125" style="10" bestFit="1" customWidth="1"/>
    <col min="4360" max="4360" width="13.42578125" style="10" bestFit="1" customWidth="1"/>
    <col min="4361" max="4362" width="9.140625" style="10"/>
    <col min="4363" max="4363" width="11.5703125" style="10" bestFit="1" customWidth="1"/>
    <col min="4364" max="4364" width="9.140625" style="10"/>
    <col min="4365" max="4365" width="13.85546875" style="10" customWidth="1"/>
    <col min="4366" max="4607" width="9.140625" style="10"/>
    <col min="4608" max="4608" width="2.42578125" style="10" customWidth="1"/>
    <col min="4609" max="4609" width="5.28515625" style="10" customWidth="1"/>
    <col min="4610" max="4610" width="53.5703125" style="10" customWidth="1"/>
    <col min="4611" max="4611" width="5.42578125" style="10" customWidth="1"/>
    <col min="4612" max="4612" width="36.28515625" style="10" customWidth="1"/>
    <col min="4613" max="4613" width="14.28515625" style="10" customWidth="1"/>
    <col min="4614" max="4614" width="15.140625" style="10" customWidth="1"/>
    <col min="4615" max="4615" width="13.5703125" style="10" bestFit="1" customWidth="1"/>
    <col min="4616" max="4616" width="13.42578125" style="10" bestFit="1" customWidth="1"/>
    <col min="4617" max="4618" width="9.140625" style="10"/>
    <col min="4619" max="4619" width="11.5703125" style="10" bestFit="1" customWidth="1"/>
    <col min="4620" max="4620" width="9.140625" style="10"/>
    <col min="4621" max="4621" width="13.85546875" style="10" customWidth="1"/>
    <col min="4622" max="4863" width="9.140625" style="10"/>
    <col min="4864" max="4864" width="2.42578125" style="10" customWidth="1"/>
    <col min="4865" max="4865" width="5.28515625" style="10" customWidth="1"/>
    <col min="4866" max="4866" width="53.5703125" style="10" customWidth="1"/>
    <col min="4867" max="4867" width="5.42578125" style="10" customWidth="1"/>
    <col min="4868" max="4868" width="36.28515625" style="10" customWidth="1"/>
    <col min="4869" max="4869" width="14.28515625" style="10" customWidth="1"/>
    <col min="4870" max="4870" width="15.140625" style="10" customWidth="1"/>
    <col min="4871" max="4871" width="13.5703125" style="10" bestFit="1" customWidth="1"/>
    <col min="4872" max="4872" width="13.42578125" style="10" bestFit="1" customWidth="1"/>
    <col min="4873" max="4874" width="9.140625" style="10"/>
    <col min="4875" max="4875" width="11.5703125" style="10" bestFit="1" customWidth="1"/>
    <col min="4876" max="4876" width="9.140625" style="10"/>
    <col min="4877" max="4877" width="13.85546875" style="10" customWidth="1"/>
    <col min="4878" max="5119" width="9.140625" style="10"/>
    <col min="5120" max="5120" width="2.42578125" style="10" customWidth="1"/>
    <col min="5121" max="5121" width="5.28515625" style="10" customWidth="1"/>
    <col min="5122" max="5122" width="53.5703125" style="10" customWidth="1"/>
    <col min="5123" max="5123" width="5.42578125" style="10" customWidth="1"/>
    <col min="5124" max="5124" width="36.28515625" style="10" customWidth="1"/>
    <col min="5125" max="5125" width="14.28515625" style="10" customWidth="1"/>
    <col min="5126" max="5126" width="15.140625" style="10" customWidth="1"/>
    <col min="5127" max="5127" width="13.5703125" style="10" bestFit="1" customWidth="1"/>
    <col min="5128" max="5128" width="13.42578125" style="10" bestFit="1" customWidth="1"/>
    <col min="5129" max="5130" width="9.140625" style="10"/>
    <col min="5131" max="5131" width="11.5703125" style="10" bestFit="1" customWidth="1"/>
    <col min="5132" max="5132" width="9.140625" style="10"/>
    <col min="5133" max="5133" width="13.85546875" style="10" customWidth="1"/>
    <col min="5134" max="5375" width="9.140625" style="10"/>
    <col min="5376" max="5376" width="2.42578125" style="10" customWidth="1"/>
    <col min="5377" max="5377" width="5.28515625" style="10" customWidth="1"/>
    <col min="5378" max="5378" width="53.5703125" style="10" customWidth="1"/>
    <col min="5379" max="5379" width="5.42578125" style="10" customWidth="1"/>
    <col min="5380" max="5380" width="36.28515625" style="10" customWidth="1"/>
    <col min="5381" max="5381" width="14.28515625" style="10" customWidth="1"/>
    <col min="5382" max="5382" width="15.140625" style="10" customWidth="1"/>
    <col min="5383" max="5383" width="13.5703125" style="10" bestFit="1" customWidth="1"/>
    <col min="5384" max="5384" width="13.42578125" style="10" bestFit="1" customWidth="1"/>
    <col min="5385" max="5386" width="9.140625" style="10"/>
    <col min="5387" max="5387" width="11.5703125" style="10" bestFit="1" customWidth="1"/>
    <col min="5388" max="5388" width="9.140625" style="10"/>
    <col min="5389" max="5389" width="13.85546875" style="10" customWidth="1"/>
    <col min="5390" max="5631" width="9.140625" style="10"/>
    <col min="5632" max="5632" width="2.42578125" style="10" customWidth="1"/>
    <col min="5633" max="5633" width="5.28515625" style="10" customWidth="1"/>
    <col min="5634" max="5634" width="53.5703125" style="10" customWidth="1"/>
    <col min="5635" max="5635" width="5.42578125" style="10" customWidth="1"/>
    <col min="5636" max="5636" width="36.28515625" style="10" customWidth="1"/>
    <col min="5637" max="5637" width="14.28515625" style="10" customWidth="1"/>
    <col min="5638" max="5638" width="15.140625" style="10" customWidth="1"/>
    <col min="5639" max="5639" width="13.5703125" style="10" bestFit="1" customWidth="1"/>
    <col min="5640" max="5640" width="13.42578125" style="10" bestFit="1" customWidth="1"/>
    <col min="5641" max="5642" width="9.140625" style="10"/>
    <col min="5643" max="5643" width="11.5703125" style="10" bestFit="1" customWidth="1"/>
    <col min="5644" max="5644" width="9.140625" style="10"/>
    <col min="5645" max="5645" width="13.85546875" style="10" customWidth="1"/>
    <col min="5646" max="5887" width="9.140625" style="10"/>
    <col min="5888" max="5888" width="2.42578125" style="10" customWidth="1"/>
    <col min="5889" max="5889" width="5.28515625" style="10" customWidth="1"/>
    <col min="5890" max="5890" width="53.5703125" style="10" customWidth="1"/>
    <col min="5891" max="5891" width="5.42578125" style="10" customWidth="1"/>
    <col min="5892" max="5892" width="36.28515625" style="10" customWidth="1"/>
    <col min="5893" max="5893" width="14.28515625" style="10" customWidth="1"/>
    <col min="5894" max="5894" width="15.140625" style="10" customWidth="1"/>
    <col min="5895" max="5895" width="13.5703125" style="10" bestFit="1" customWidth="1"/>
    <col min="5896" max="5896" width="13.42578125" style="10" bestFit="1" customWidth="1"/>
    <col min="5897" max="5898" width="9.140625" style="10"/>
    <col min="5899" max="5899" width="11.5703125" style="10" bestFit="1" customWidth="1"/>
    <col min="5900" max="5900" width="9.140625" style="10"/>
    <col min="5901" max="5901" width="13.85546875" style="10" customWidth="1"/>
    <col min="5902" max="6143" width="9.140625" style="10"/>
    <col min="6144" max="6144" width="2.42578125" style="10" customWidth="1"/>
    <col min="6145" max="6145" width="5.28515625" style="10" customWidth="1"/>
    <col min="6146" max="6146" width="53.5703125" style="10" customWidth="1"/>
    <col min="6147" max="6147" width="5.42578125" style="10" customWidth="1"/>
    <col min="6148" max="6148" width="36.28515625" style="10" customWidth="1"/>
    <col min="6149" max="6149" width="14.28515625" style="10" customWidth="1"/>
    <col min="6150" max="6150" width="15.140625" style="10" customWidth="1"/>
    <col min="6151" max="6151" width="13.5703125" style="10" bestFit="1" customWidth="1"/>
    <col min="6152" max="6152" width="13.42578125" style="10" bestFit="1" customWidth="1"/>
    <col min="6153" max="6154" width="9.140625" style="10"/>
    <col min="6155" max="6155" width="11.5703125" style="10" bestFit="1" customWidth="1"/>
    <col min="6156" max="6156" width="9.140625" style="10"/>
    <col min="6157" max="6157" width="13.85546875" style="10" customWidth="1"/>
    <col min="6158" max="6399" width="9.140625" style="10"/>
    <col min="6400" max="6400" width="2.42578125" style="10" customWidth="1"/>
    <col min="6401" max="6401" width="5.28515625" style="10" customWidth="1"/>
    <col min="6402" max="6402" width="53.5703125" style="10" customWidth="1"/>
    <col min="6403" max="6403" width="5.42578125" style="10" customWidth="1"/>
    <col min="6404" max="6404" width="36.28515625" style="10" customWidth="1"/>
    <col min="6405" max="6405" width="14.28515625" style="10" customWidth="1"/>
    <col min="6406" max="6406" width="15.140625" style="10" customWidth="1"/>
    <col min="6407" max="6407" width="13.5703125" style="10" bestFit="1" customWidth="1"/>
    <col min="6408" max="6408" width="13.42578125" style="10" bestFit="1" customWidth="1"/>
    <col min="6409" max="6410" width="9.140625" style="10"/>
    <col min="6411" max="6411" width="11.5703125" style="10" bestFit="1" customWidth="1"/>
    <col min="6412" max="6412" width="9.140625" style="10"/>
    <col min="6413" max="6413" width="13.85546875" style="10" customWidth="1"/>
    <col min="6414" max="6655" width="9.140625" style="10"/>
    <col min="6656" max="6656" width="2.42578125" style="10" customWidth="1"/>
    <col min="6657" max="6657" width="5.28515625" style="10" customWidth="1"/>
    <col min="6658" max="6658" width="53.5703125" style="10" customWidth="1"/>
    <col min="6659" max="6659" width="5.42578125" style="10" customWidth="1"/>
    <col min="6660" max="6660" width="36.28515625" style="10" customWidth="1"/>
    <col min="6661" max="6661" width="14.28515625" style="10" customWidth="1"/>
    <col min="6662" max="6662" width="15.140625" style="10" customWidth="1"/>
    <col min="6663" max="6663" width="13.5703125" style="10" bestFit="1" customWidth="1"/>
    <col min="6664" max="6664" width="13.42578125" style="10" bestFit="1" customWidth="1"/>
    <col min="6665" max="6666" width="9.140625" style="10"/>
    <col min="6667" max="6667" width="11.5703125" style="10" bestFit="1" customWidth="1"/>
    <col min="6668" max="6668" width="9.140625" style="10"/>
    <col min="6669" max="6669" width="13.85546875" style="10" customWidth="1"/>
    <col min="6670" max="6911" width="9.140625" style="10"/>
    <col min="6912" max="6912" width="2.42578125" style="10" customWidth="1"/>
    <col min="6913" max="6913" width="5.28515625" style="10" customWidth="1"/>
    <col min="6914" max="6914" width="53.5703125" style="10" customWidth="1"/>
    <col min="6915" max="6915" width="5.42578125" style="10" customWidth="1"/>
    <col min="6916" max="6916" width="36.28515625" style="10" customWidth="1"/>
    <col min="6917" max="6917" width="14.28515625" style="10" customWidth="1"/>
    <col min="6918" max="6918" width="15.140625" style="10" customWidth="1"/>
    <col min="6919" max="6919" width="13.5703125" style="10" bestFit="1" customWidth="1"/>
    <col min="6920" max="6920" width="13.42578125" style="10" bestFit="1" customWidth="1"/>
    <col min="6921" max="6922" width="9.140625" style="10"/>
    <col min="6923" max="6923" width="11.5703125" style="10" bestFit="1" customWidth="1"/>
    <col min="6924" max="6924" width="9.140625" style="10"/>
    <col min="6925" max="6925" width="13.85546875" style="10" customWidth="1"/>
    <col min="6926" max="7167" width="9.140625" style="10"/>
    <col min="7168" max="7168" width="2.42578125" style="10" customWidth="1"/>
    <col min="7169" max="7169" width="5.28515625" style="10" customWidth="1"/>
    <col min="7170" max="7170" width="53.5703125" style="10" customWidth="1"/>
    <col min="7171" max="7171" width="5.42578125" style="10" customWidth="1"/>
    <col min="7172" max="7172" width="36.28515625" style="10" customWidth="1"/>
    <col min="7173" max="7173" width="14.28515625" style="10" customWidth="1"/>
    <col min="7174" max="7174" width="15.140625" style="10" customWidth="1"/>
    <col min="7175" max="7175" width="13.5703125" style="10" bestFit="1" customWidth="1"/>
    <col min="7176" max="7176" width="13.42578125" style="10" bestFit="1" customWidth="1"/>
    <col min="7177" max="7178" width="9.140625" style="10"/>
    <col min="7179" max="7179" width="11.5703125" style="10" bestFit="1" customWidth="1"/>
    <col min="7180" max="7180" width="9.140625" style="10"/>
    <col min="7181" max="7181" width="13.85546875" style="10" customWidth="1"/>
    <col min="7182" max="7423" width="9.140625" style="10"/>
    <col min="7424" max="7424" width="2.42578125" style="10" customWidth="1"/>
    <col min="7425" max="7425" width="5.28515625" style="10" customWidth="1"/>
    <col min="7426" max="7426" width="53.5703125" style="10" customWidth="1"/>
    <col min="7427" max="7427" width="5.42578125" style="10" customWidth="1"/>
    <col min="7428" max="7428" width="36.28515625" style="10" customWidth="1"/>
    <col min="7429" max="7429" width="14.28515625" style="10" customWidth="1"/>
    <col min="7430" max="7430" width="15.140625" style="10" customWidth="1"/>
    <col min="7431" max="7431" width="13.5703125" style="10" bestFit="1" customWidth="1"/>
    <col min="7432" max="7432" width="13.42578125" style="10" bestFit="1" customWidth="1"/>
    <col min="7433" max="7434" width="9.140625" style="10"/>
    <col min="7435" max="7435" width="11.5703125" style="10" bestFit="1" customWidth="1"/>
    <col min="7436" max="7436" width="9.140625" style="10"/>
    <col min="7437" max="7437" width="13.85546875" style="10" customWidth="1"/>
    <col min="7438" max="7679" width="9.140625" style="10"/>
    <col min="7680" max="7680" width="2.42578125" style="10" customWidth="1"/>
    <col min="7681" max="7681" width="5.28515625" style="10" customWidth="1"/>
    <col min="7682" max="7682" width="53.5703125" style="10" customWidth="1"/>
    <col min="7683" max="7683" width="5.42578125" style="10" customWidth="1"/>
    <col min="7684" max="7684" width="36.28515625" style="10" customWidth="1"/>
    <col min="7685" max="7685" width="14.28515625" style="10" customWidth="1"/>
    <col min="7686" max="7686" width="15.140625" style="10" customWidth="1"/>
    <col min="7687" max="7687" width="13.5703125" style="10" bestFit="1" customWidth="1"/>
    <col min="7688" max="7688" width="13.42578125" style="10" bestFit="1" customWidth="1"/>
    <col min="7689" max="7690" width="9.140625" style="10"/>
    <col min="7691" max="7691" width="11.5703125" style="10" bestFit="1" customWidth="1"/>
    <col min="7692" max="7692" width="9.140625" style="10"/>
    <col min="7693" max="7693" width="13.85546875" style="10" customWidth="1"/>
    <col min="7694" max="7935" width="9.140625" style="10"/>
    <col min="7936" max="7936" width="2.42578125" style="10" customWidth="1"/>
    <col min="7937" max="7937" width="5.28515625" style="10" customWidth="1"/>
    <col min="7938" max="7938" width="53.5703125" style="10" customWidth="1"/>
    <col min="7939" max="7939" width="5.42578125" style="10" customWidth="1"/>
    <col min="7940" max="7940" width="36.28515625" style="10" customWidth="1"/>
    <col min="7941" max="7941" width="14.28515625" style="10" customWidth="1"/>
    <col min="7942" max="7942" width="15.140625" style="10" customWidth="1"/>
    <col min="7943" max="7943" width="13.5703125" style="10" bestFit="1" customWidth="1"/>
    <col min="7944" max="7944" width="13.42578125" style="10" bestFit="1" customWidth="1"/>
    <col min="7945" max="7946" width="9.140625" style="10"/>
    <col min="7947" max="7947" width="11.5703125" style="10" bestFit="1" customWidth="1"/>
    <col min="7948" max="7948" width="9.140625" style="10"/>
    <col min="7949" max="7949" width="13.85546875" style="10" customWidth="1"/>
    <col min="7950" max="8191" width="9.140625" style="10"/>
    <col min="8192" max="8192" width="2.42578125" style="10" customWidth="1"/>
    <col min="8193" max="8193" width="5.28515625" style="10" customWidth="1"/>
    <col min="8194" max="8194" width="53.5703125" style="10" customWidth="1"/>
    <col min="8195" max="8195" width="5.42578125" style="10" customWidth="1"/>
    <col min="8196" max="8196" width="36.28515625" style="10" customWidth="1"/>
    <col min="8197" max="8197" width="14.28515625" style="10" customWidth="1"/>
    <col min="8198" max="8198" width="15.140625" style="10" customWidth="1"/>
    <col min="8199" max="8199" width="13.5703125" style="10" bestFit="1" customWidth="1"/>
    <col min="8200" max="8200" width="13.42578125" style="10" bestFit="1" customWidth="1"/>
    <col min="8201" max="8202" width="9.140625" style="10"/>
    <col min="8203" max="8203" width="11.5703125" style="10" bestFit="1" customWidth="1"/>
    <col min="8204" max="8204" width="9.140625" style="10"/>
    <col min="8205" max="8205" width="13.85546875" style="10" customWidth="1"/>
    <col min="8206" max="8447" width="9.140625" style="10"/>
    <col min="8448" max="8448" width="2.42578125" style="10" customWidth="1"/>
    <col min="8449" max="8449" width="5.28515625" style="10" customWidth="1"/>
    <col min="8450" max="8450" width="53.5703125" style="10" customWidth="1"/>
    <col min="8451" max="8451" width="5.42578125" style="10" customWidth="1"/>
    <col min="8452" max="8452" width="36.28515625" style="10" customWidth="1"/>
    <col min="8453" max="8453" width="14.28515625" style="10" customWidth="1"/>
    <col min="8454" max="8454" width="15.140625" style="10" customWidth="1"/>
    <col min="8455" max="8455" width="13.5703125" style="10" bestFit="1" customWidth="1"/>
    <col min="8456" max="8456" width="13.42578125" style="10" bestFit="1" customWidth="1"/>
    <col min="8457" max="8458" width="9.140625" style="10"/>
    <col min="8459" max="8459" width="11.5703125" style="10" bestFit="1" customWidth="1"/>
    <col min="8460" max="8460" width="9.140625" style="10"/>
    <col min="8461" max="8461" width="13.85546875" style="10" customWidth="1"/>
    <col min="8462" max="8703" width="9.140625" style="10"/>
    <col min="8704" max="8704" width="2.42578125" style="10" customWidth="1"/>
    <col min="8705" max="8705" width="5.28515625" style="10" customWidth="1"/>
    <col min="8706" max="8706" width="53.5703125" style="10" customWidth="1"/>
    <col min="8707" max="8707" width="5.42578125" style="10" customWidth="1"/>
    <col min="8708" max="8708" width="36.28515625" style="10" customWidth="1"/>
    <col min="8709" max="8709" width="14.28515625" style="10" customWidth="1"/>
    <col min="8710" max="8710" width="15.140625" style="10" customWidth="1"/>
    <col min="8711" max="8711" width="13.5703125" style="10" bestFit="1" customWidth="1"/>
    <col min="8712" max="8712" width="13.42578125" style="10" bestFit="1" customWidth="1"/>
    <col min="8713" max="8714" width="9.140625" style="10"/>
    <col min="8715" max="8715" width="11.5703125" style="10" bestFit="1" customWidth="1"/>
    <col min="8716" max="8716" width="9.140625" style="10"/>
    <col min="8717" max="8717" width="13.85546875" style="10" customWidth="1"/>
    <col min="8718" max="8959" width="9.140625" style="10"/>
    <col min="8960" max="8960" width="2.42578125" style="10" customWidth="1"/>
    <col min="8961" max="8961" width="5.28515625" style="10" customWidth="1"/>
    <col min="8962" max="8962" width="53.5703125" style="10" customWidth="1"/>
    <col min="8963" max="8963" width="5.42578125" style="10" customWidth="1"/>
    <col min="8964" max="8964" width="36.28515625" style="10" customWidth="1"/>
    <col min="8965" max="8965" width="14.28515625" style="10" customWidth="1"/>
    <col min="8966" max="8966" width="15.140625" style="10" customWidth="1"/>
    <col min="8967" max="8967" width="13.5703125" style="10" bestFit="1" customWidth="1"/>
    <col min="8968" max="8968" width="13.42578125" style="10" bestFit="1" customWidth="1"/>
    <col min="8969" max="8970" width="9.140625" style="10"/>
    <col min="8971" max="8971" width="11.5703125" style="10" bestFit="1" customWidth="1"/>
    <col min="8972" max="8972" width="9.140625" style="10"/>
    <col min="8973" max="8973" width="13.85546875" style="10" customWidth="1"/>
    <col min="8974" max="9215" width="9.140625" style="10"/>
    <col min="9216" max="9216" width="2.42578125" style="10" customWidth="1"/>
    <col min="9217" max="9217" width="5.28515625" style="10" customWidth="1"/>
    <col min="9218" max="9218" width="53.5703125" style="10" customWidth="1"/>
    <col min="9219" max="9219" width="5.42578125" style="10" customWidth="1"/>
    <col min="9220" max="9220" width="36.28515625" style="10" customWidth="1"/>
    <col min="9221" max="9221" width="14.28515625" style="10" customWidth="1"/>
    <col min="9222" max="9222" width="15.140625" style="10" customWidth="1"/>
    <col min="9223" max="9223" width="13.5703125" style="10" bestFit="1" customWidth="1"/>
    <col min="9224" max="9224" width="13.42578125" style="10" bestFit="1" customWidth="1"/>
    <col min="9225" max="9226" width="9.140625" style="10"/>
    <col min="9227" max="9227" width="11.5703125" style="10" bestFit="1" customWidth="1"/>
    <col min="9228" max="9228" width="9.140625" style="10"/>
    <col min="9229" max="9229" width="13.85546875" style="10" customWidth="1"/>
    <col min="9230" max="9471" width="9.140625" style="10"/>
    <col min="9472" max="9472" width="2.42578125" style="10" customWidth="1"/>
    <col min="9473" max="9473" width="5.28515625" style="10" customWidth="1"/>
    <col min="9474" max="9474" width="53.5703125" style="10" customWidth="1"/>
    <col min="9475" max="9475" width="5.42578125" style="10" customWidth="1"/>
    <col min="9476" max="9476" width="36.28515625" style="10" customWidth="1"/>
    <col min="9477" max="9477" width="14.28515625" style="10" customWidth="1"/>
    <col min="9478" max="9478" width="15.140625" style="10" customWidth="1"/>
    <col min="9479" max="9479" width="13.5703125" style="10" bestFit="1" customWidth="1"/>
    <col min="9480" max="9480" width="13.42578125" style="10" bestFit="1" customWidth="1"/>
    <col min="9481" max="9482" width="9.140625" style="10"/>
    <col min="9483" max="9483" width="11.5703125" style="10" bestFit="1" customWidth="1"/>
    <col min="9484" max="9484" width="9.140625" style="10"/>
    <col min="9485" max="9485" width="13.85546875" style="10" customWidth="1"/>
    <col min="9486" max="9727" width="9.140625" style="10"/>
    <col min="9728" max="9728" width="2.42578125" style="10" customWidth="1"/>
    <col min="9729" max="9729" width="5.28515625" style="10" customWidth="1"/>
    <col min="9730" max="9730" width="53.5703125" style="10" customWidth="1"/>
    <col min="9731" max="9731" width="5.42578125" style="10" customWidth="1"/>
    <col min="9732" max="9732" width="36.28515625" style="10" customWidth="1"/>
    <col min="9733" max="9733" width="14.28515625" style="10" customWidth="1"/>
    <col min="9734" max="9734" width="15.140625" style="10" customWidth="1"/>
    <col min="9735" max="9735" width="13.5703125" style="10" bestFit="1" customWidth="1"/>
    <col min="9736" max="9736" width="13.42578125" style="10" bestFit="1" customWidth="1"/>
    <col min="9737" max="9738" width="9.140625" style="10"/>
    <col min="9739" max="9739" width="11.5703125" style="10" bestFit="1" customWidth="1"/>
    <col min="9740" max="9740" width="9.140625" style="10"/>
    <col min="9741" max="9741" width="13.85546875" style="10" customWidth="1"/>
    <col min="9742" max="9983" width="9.140625" style="10"/>
    <col min="9984" max="9984" width="2.42578125" style="10" customWidth="1"/>
    <col min="9985" max="9985" width="5.28515625" style="10" customWidth="1"/>
    <col min="9986" max="9986" width="53.5703125" style="10" customWidth="1"/>
    <col min="9987" max="9987" width="5.42578125" style="10" customWidth="1"/>
    <col min="9988" max="9988" width="36.28515625" style="10" customWidth="1"/>
    <col min="9989" max="9989" width="14.28515625" style="10" customWidth="1"/>
    <col min="9990" max="9990" width="15.140625" style="10" customWidth="1"/>
    <col min="9991" max="9991" width="13.5703125" style="10" bestFit="1" customWidth="1"/>
    <col min="9992" max="9992" width="13.42578125" style="10" bestFit="1" customWidth="1"/>
    <col min="9993" max="9994" width="9.140625" style="10"/>
    <col min="9995" max="9995" width="11.5703125" style="10" bestFit="1" customWidth="1"/>
    <col min="9996" max="9996" width="9.140625" style="10"/>
    <col min="9997" max="9997" width="13.85546875" style="10" customWidth="1"/>
    <col min="9998" max="10239" width="9.140625" style="10"/>
    <col min="10240" max="10240" width="2.42578125" style="10" customWidth="1"/>
    <col min="10241" max="10241" width="5.28515625" style="10" customWidth="1"/>
    <col min="10242" max="10242" width="53.5703125" style="10" customWidth="1"/>
    <col min="10243" max="10243" width="5.42578125" style="10" customWidth="1"/>
    <col min="10244" max="10244" width="36.28515625" style="10" customWidth="1"/>
    <col min="10245" max="10245" width="14.28515625" style="10" customWidth="1"/>
    <col min="10246" max="10246" width="15.140625" style="10" customWidth="1"/>
    <col min="10247" max="10247" width="13.5703125" style="10" bestFit="1" customWidth="1"/>
    <col min="10248" max="10248" width="13.42578125" style="10" bestFit="1" customWidth="1"/>
    <col min="10249" max="10250" width="9.140625" style="10"/>
    <col min="10251" max="10251" width="11.5703125" style="10" bestFit="1" customWidth="1"/>
    <col min="10252" max="10252" width="9.140625" style="10"/>
    <col min="10253" max="10253" width="13.85546875" style="10" customWidth="1"/>
    <col min="10254" max="10495" width="9.140625" style="10"/>
    <col min="10496" max="10496" width="2.42578125" style="10" customWidth="1"/>
    <col min="10497" max="10497" width="5.28515625" style="10" customWidth="1"/>
    <col min="10498" max="10498" width="53.5703125" style="10" customWidth="1"/>
    <col min="10499" max="10499" width="5.42578125" style="10" customWidth="1"/>
    <col min="10500" max="10500" width="36.28515625" style="10" customWidth="1"/>
    <col min="10501" max="10501" width="14.28515625" style="10" customWidth="1"/>
    <col min="10502" max="10502" width="15.140625" style="10" customWidth="1"/>
    <col min="10503" max="10503" width="13.5703125" style="10" bestFit="1" customWidth="1"/>
    <col min="10504" max="10504" width="13.42578125" style="10" bestFit="1" customWidth="1"/>
    <col min="10505" max="10506" width="9.140625" style="10"/>
    <col min="10507" max="10507" width="11.5703125" style="10" bestFit="1" customWidth="1"/>
    <col min="10508" max="10508" width="9.140625" style="10"/>
    <col min="10509" max="10509" width="13.85546875" style="10" customWidth="1"/>
    <col min="10510" max="10751" width="9.140625" style="10"/>
    <col min="10752" max="10752" width="2.42578125" style="10" customWidth="1"/>
    <col min="10753" max="10753" width="5.28515625" style="10" customWidth="1"/>
    <col min="10754" max="10754" width="53.5703125" style="10" customWidth="1"/>
    <col min="10755" max="10755" width="5.42578125" style="10" customWidth="1"/>
    <col min="10756" max="10756" width="36.28515625" style="10" customWidth="1"/>
    <col min="10757" max="10757" width="14.28515625" style="10" customWidth="1"/>
    <col min="10758" max="10758" width="15.140625" style="10" customWidth="1"/>
    <col min="10759" max="10759" width="13.5703125" style="10" bestFit="1" customWidth="1"/>
    <col min="10760" max="10760" width="13.42578125" style="10" bestFit="1" customWidth="1"/>
    <col min="10761" max="10762" width="9.140625" style="10"/>
    <col min="10763" max="10763" width="11.5703125" style="10" bestFit="1" customWidth="1"/>
    <col min="10764" max="10764" width="9.140625" style="10"/>
    <col min="10765" max="10765" width="13.85546875" style="10" customWidth="1"/>
    <col min="10766" max="11007" width="9.140625" style="10"/>
    <col min="11008" max="11008" width="2.42578125" style="10" customWidth="1"/>
    <col min="11009" max="11009" width="5.28515625" style="10" customWidth="1"/>
    <col min="11010" max="11010" width="53.5703125" style="10" customWidth="1"/>
    <col min="11011" max="11011" width="5.42578125" style="10" customWidth="1"/>
    <col min="11012" max="11012" width="36.28515625" style="10" customWidth="1"/>
    <col min="11013" max="11013" width="14.28515625" style="10" customWidth="1"/>
    <col min="11014" max="11014" width="15.140625" style="10" customWidth="1"/>
    <col min="11015" max="11015" width="13.5703125" style="10" bestFit="1" customWidth="1"/>
    <col min="11016" max="11016" width="13.42578125" style="10" bestFit="1" customWidth="1"/>
    <col min="11017" max="11018" width="9.140625" style="10"/>
    <col min="11019" max="11019" width="11.5703125" style="10" bestFit="1" customWidth="1"/>
    <col min="11020" max="11020" width="9.140625" style="10"/>
    <col min="11021" max="11021" width="13.85546875" style="10" customWidth="1"/>
    <col min="11022" max="11263" width="9.140625" style="10"/>
    <col min="11264" max="11264" width="2.42578125" style="10" customWidth="1"/>
    <col min="11265" max="11265" width="5.28515625" style="10" customWidth="1"/>
    <col min="11266" max="11266" width="53.5703125" style="10" customWidth="1"/>
    <col min="11267" max="11267" width="5.42578125" style="10" customWidth="1"/>
    <col min="11268" max="11268" width="36.28515625" style="10" customWidth="1"/>
    <col min="11269" max="11269" width="14.28515625" style="10" customWidth="1"/>
    <col min="11270" max="11270" width="15.140625" style="10" customWidth="1"/>
    <col min="11271" max="11271" width="13.5703125" style="10" bestFit="1" customWidth="1"/>
    <col min="11272" max="11272" width="13.42578125" style="10" bestFit="1" customWidth="1"/>
    <col min="11273" max="11274" width="9.140625" style="10"/>
    <col min="11275" max="11275" width="11.5703125" style="10" bestFit="1" customWidth="1"/>
    <col min="11276" max="11276" width="9.140625" style="10"/>
    <col min="11277" max="11277" width="13.85546875" style="10" customWidth="1"/>
    <col min="11278" max="11519" width="9.140625" style="10"/>
    <col min="11520" max="11520" width="2.42578125" style="10" customWidth="1"/>
    <col min="11521" max="11521" width="5.28515625" style="10" customWidth="1"/>
    <col min="11522" max="11522" width="53.5703125" style="10" customWidth="1"/>
    <col min="11523" max="11523" width="5.42578125" style="10" customWidth="1"/>
    <col min="11524" max="11524" width="36.28515625" style="10" customWidth="1"/>
    <col min="11525" max="11525" width="14.28515625" style="10" customWidth="1"/>
    <col min="11526" max="11526" width="15.140625" style="10" customWidth="1"/>
    <col min="11527" max="11527" width="13.5703125" style="10" bestFit="1" customWidth="1"/>
    <col min="11528" max="11528" width="13.42578125" style="10" bestFit="1" customWidth="1"/>
    <col min="11529" max="11530" width="9.140625" style="10"/>
    <col min="11531" max="11531" width="11.5703125" style="10" bestFit="1" customWidth="1"/>
    <col min="11532" max="11532" width="9.140625" style="10"/>
    <col min="11533" max="11533" width="13.85546875" style="10" customWidth="1"/>
    <col min="11534" max="11775" width="9.140625" style="10"/>
    <col min="11776" max="11776" width="2.42578125" style="10" customWidth="1"/>
    <col min="11777" max="11777" width="5.28515625" style="10" customWidth="1"/>
    <col min="11778" max="11778" width="53.5703125" style="10" customWidth="1"/>
    <col min="11779" max="11779" width="5.42578125" style="10" customWidth="1"/>
    <col min="11780" max="11780" width="36.28515625" style="10" customWidth="1"/>
    <col min="11781" max="11781" width="14.28515625" style="10" customWidth="1"/>
    <col min="11782" max="11782" width="15.140625" style="10" customWidth="1"/>
    <col min="11783" max="11783" width="13.5703125" style="10" bestFit="1" customWidth="1"/>
    <col min="11784" max="11784" width="13.42578125" style="10" bestFit="1" customWidth="1"/>
    <col min="11785" max="11786" width="9.140625" style="10"/>
    <col min="11787" max="11787" width="11.5703125" style="10" bestFit="1" customWidth="1"/>
    <col min="11788" max="11788" width="9.140625" style="10"/>
    <col min="11789" max="11789" width="13.85546875" style="10" customWidth="1"/>
    <col min="11790" max="12031" width="9.140625" style="10"/>
    <col min="12032" max="12032" width="2.42578125" style="10" customWidth="1"/>
    <col min="12033" max="12033" width="5.28515625" style="10" customWidth="1"/>
    <col min="12034" max="12034" width="53.5703125" style="10" customWidth="1"/>
    <col min="12035" max="12035" width="5.42578125" style="10" customWidth="1"/>
    <col min="12036" max="12036" width="36.28515625" style="10" customWidth="1"/>
    <col min="12037" max="12037" width="14.28515625" style="10" customWidth="1"/>
    <col min="12038" max="12038" width="15.140625" style="10" customWidth="1"/>
    <col min="12039" max="12039" width="13.5703125" style="10" bestFit="1" customWidth="1"/>
    <col min="12040" max="12040" width="13.42578125" style="10" bestFit="1" customWidth="1"/>
    <col min="12041" max="12042" width="9.140625" style="10"/>
    <col min="12043" max="12043" width="11.5703125" style="10" bestFit="1" customWidth="1"/>
    <col min="12044" max="12044" width="9.140625" style="10"/>
    <col min="12045" max="12045" width="13.85546875" style="10" customWidth="1"/>
    <col min="12046" max="12287" width="9.140625" style="10"/>
    <col min="12288" max="12288" width="2.42578125" style="10" customWidth="1"/>
    <col min="12289" max="12289" width="5.28515625" style="10" customWidth="1"/>
    <col min="12290" max="12290" width="53.5703125" style="10" customWidth="1"/>
    <col min="12291" max="12291" width="5.42578125" style="10" customWidth="1"/>
    <col min="12292" max="12292" width="36.28515625" style="10" customWidth="1"/>
    <col min="12293" max="12293" width="14.28515625" style="10" customWidth="1"/>
    <col min="12294" max="12294" width="15.140625" style="10" customWidth="1"/>
    <col min="12295" max="12295" width="13.5703125" style="10" bestFit="1" customWidth="1"/>
    <col min="12296" max="12296" width="13.42578125" style="10" bestFit="1" customWidth="1"/>
    <col min="12297" max="12298" width="9.140625" style="10"/>
    <col min="12299" max="12299" width="11.5703125" style="10" bestFit="1" customWidth="1"/>
    <col min="12300" max="12300" width="9.140625" style="10"/>
    <col min="12301" max="12301" width="13.85546875" style="10" customWidth="1"/>
    <col min="12302" max="12543" width="9.140625" style="10"/>
    <col min="12544" max="12544" width="2.42578125" style="10" customWidth="1"/>
    <col min="12545" max="12545" width="5.28515625" style="10" customWidth="1"/>
    <col min="12546" max="12546" width="53.5703125" style="10" customWidth="1"/>
    <col min="12547" max="12547" width="5.42578125" style="10" customWidth="1"/>
    <col min="12548" max="12548" width="36.28515625" style="10" customWidth="1"/>
    <col min="12549" max="12549" width="14.28515625" style="10" customWidth="1"/>
    <col min="12550" max="12550" width="15.140625" style="10" customWidth="1"/>
    <col min="12551" max="12551" width="13.5703125" style="10" bestFit="1" customWidth="1"/>
    <col min="12552" max="12552" width="13.42578125" style="10" bestFit="1" customWidth="1"/>
    <col min="12553" max="12554" width="9.140625" style="10"/>
    <col min="12555" max="12555" width="11.5703125" style="10" bestFit="1" customWidth="1"/>
    <col min="12556" max="12556" width="9.140625" style="10"/>
    <col min="12557" max="12557" width="13.85546875" style="10" customWidth="1"/>
    <col min="12558" max="12799" width="9.140625" style="10"/>
    <col min="12800" max="12800" width="2.42578125" style="10" customWidth="1"/>
    <col min="12801" max="12801" width="5.28515625" style="10" customWidth="1"/>
    <col min="12802" max="12802" width="53.5703125" style="10" customWidth="1"/>
    <col min="12803" max="12803" width="5.42578125" style="10" customWidth="1"/>
    <col min="12804" max="12804" width="36.28515625" style="10" customWidth="1"/>
    <col min="12805" max="12805" width="14.28515625" style="10" customWidth="1"/>
    <col min="12806" max="12806" width="15.140625" style="10" customWidth="1"/>
    <col min="12807" max="12807" width="13.5703125" style="10" bestFit="1" customWidth="1"/>
    <col min="12808" max="12808" width="13.42578125" style="10" bestFit="1" customWidth="1"/>
    <col min="12809" max="12810" width="9.140625" style="10"/>
    <col min="12811" max="12811" width="11.5703125" style="10" bestFit="1" customWidth="1"/>
    <col min="12812" max="12812" width="9.140625" style="10"/>
    <col min="12813" max="12813" width="13.85546875" style="10" customWidth="1"/>
    <col min="12814" max="13055" width="9.140625" style="10"/>
    <col min="13056" max="13056" width="2.42578125" style="10" customWidth="1"/>
    <col min="13057" max="13057" width="5.28515625" style="10" customWidth="1"/>
    <col min="13058" max="13058" width="53.5703125" style="10" customWidth="1"/>
    <col min="13059" max="13059" width="5.42578125" style="10" customWidth="1"/>
    <col min="13060" max="13060" width="36.28515625" style="10" customWidth="1"/>
    <col min="13061" max="13061" width="14.28515625" style="10" customWidth="1"/>
    <col min="13062" max="13062" width="15.140625" style="10" customWidth="1"/>
    <col min="13063" max="13063" width="13.5703125" style="10" bestFit="1" customWidth="1"/>
    <col min="13064" max="13064" width="13.42578125" style="10" bestFit="1" customWidth="1"/>
    <col min="13065" max="13066" width="9.140625" style="10"/>
    <col min="13067" max="13067" width="11.5703125" style="10" bestFit="1" customWidth="1"/>
    <col min="13068" max="13068" width="9.140625" style="10"/>
    <col min="13069" max="13069" width="13.85546875" style="10" customWidth="1"/>
    <col min="13070" max="13311" width="9.140625" style="10"/>
    <col min="13312" max="13312" width="2.42578125" style="10" customWidth="1"/>
    <col min="13313" max="13313" width="5.28515625" style="10" customWidth="1"/>
    <col min="13314" max="13314" width="53.5703125" style="10" customWidth="1"/>
    <col min="13315" max="13315" width="5.42578125" style="10" customWidth="1"/>
    <col min="13316" max="13316" width="36.28515625" style="10" customWidth="1"/>
    <col min="13317" max="13317" width="14.28515625" style="10" customWidth="1"/>
    <col min="13318" max="13318" width="15.140625" style="10" customWidth="1"/>
    <col min="13319" max="13319" width="13.5703125" style="10" bestFit="1" customWidth="1"/>
    <col min="13320" max="13320" width="13.42578125" style="10" bestFit="1" customWidth="1"/>
    <col min="13321" max="13322" width="9.140625" style="10"/>
    <col min="13323" max="13323" width="11.5703125" style="10" bestFit="1" customWidth="1"/>
    <col min="13324" max="13324" width="9.140625" style="10"/>
    <col min="13325" max="13325" width="13.85546875" style="10" customWidth="1"/>
    <col min="13326" max="13567" width="9.140625" style="10"/>
    <col min="13568" max="13568" width="2.42578125" style="10" customWidth="1"/>
    <col min="13569" max="13569" width="5.28515625" style="10" customWidth="1"/>
    <col min="13570" max="13570" width="53.5703125" style="10" customWidth="1"/>
    <col min="13571" max="13571" width="5.42578125" style="10" customWidth="1"/>
    <col min="13572" max="13572" width="36.28515625" style="10" customWidth="1"/>
    <col min="13573" max="13573" width="14.28515625" style="10" customWidth="1"/>
    <col min="13574" max="13574" width="15.140625" style="10" customWidth="1"/>
    <col min="13575" max="13575" width="13.5703125" style="10" bestFit="1" customWidth="1"/>
    <col min="13576" max="13576" width="13.42578125" style="10" bestFit="1" customWidth="1"/>
    <col min="13577" max="13578" width="9.140625" style="10"/>
    <col min="13579" max="13579" width="11.5703125" style="10" bestFit="1" customWidth="1"/>
    <col min="13580" max="13580" width="9.140625" style="10"/>
    <col min="13581" max="13581" width="13.85546875" style="10" customWidth="1"/>
    <col min="13582" max="13823" width="9.140625" style="10"/>
    <col min="13824" max="13824" width="2.42578125" style="10" customWidth="1"/>
    <col min="13825" max="13825" width="5.28515625" style="10" customWidth="1"/>
    <col min="13826" max="13826" width="53.5703125" style="10" customWidth="1"/>
    <col min="13827" max="13827" width="5.42578125" style="10" customWidth="1"/>
    <col min="13828" max="13828" width="36.28515625" style="10" customWidth="1"/>
    <col min="13829" max="13829" width="14.28515625" style="10" customWidth="1"/>
    <col min="13830" max="13830" width="15.140625" style="10" customWidth="1"/>
    <col min="13831" max="13831" width="13.5703125" style="10" bestFit="1" customWidth="1"/>
    <col min="13832" max="13832" width="13.42578125" style="10" bestFit="1" customWidth="1"/>
    <col min="13833" max="13834" width="9.140625" style="10"/>
    <col min="13835" max="13835" width="11.5703125" style="10" bestFit="1" customWidth="1"/>
    <col min="13836" max="13836" width="9.140625" style="10"/>
    <col min="13837" max="13837" width="13.85546875" style="10" customWidth="1"/>
    <col min="13838" max="14079" width="9.140625" style="10"/>
    <col min="14080" max="14080" width="2.42578125" style="10" customWidth="1"/>
    <col min="14081" max="14081" width="5.28515625" style="10" customWidth="1"/>
    <col min="14082" max="14082" width="53.5703125" style="10" customWidth="1"/>
    <col min="14083" max="14083" width="5.42578125" style="10" customWidth="1"/>
    <col min="14084" max="14084" width="36.28515625" style="10" customWidth="1"/>
    <col min="14085" max="14085" width="14.28515625" style="10" customWidth="1"/>
    <col min="14086" max="14086" width="15.140625" style="10" customWidth="1"/>
    <col min="14087" max="14087" width="13.5703125" style="10" bestFit="1" customWidth="1"/>
    <col min="14088" max="14088" width="13.42578125" style="10" bestFit="1" customWidth="1"/>
    <col min="14089" max="14090" width="9.140625" style="10"/>
    <col min="14091" max="14091" width="11.5703125" style="10" bestFit="1" customWidth="1"/>
    <col min="14092" max="14092" width="9.140625" style="10"/>
    <col min="14093" max="14093" width="13.85546875" style="10" customWidth="1"/>
    <col min="14094" max="14335" width="9.140625" style="10"/>
    <col min="14336" max="14336" width="2.42578125" style="10" customWidth="1"/>
    <col min="14337" max="14337" width="5.28515625" style="10" customWidth="1"/>
    <col min="14338" max="14338" width="53.5703125" style="10" customWidth="1"/>
    <col min="14339" max="14339" width="5.42578125" style="10" customWidth="1"/>
    <col min="14340" max="14340" width="36.28515625" style="10" customWidth="1"/>
    <col min="14341" max="14341" width="14.28515625" style="10" customWidth="1"/>
    <col min="14342" max="14342" width="15.140625" style="10" customWidth="1"/>
    <col min="14343" max="14343" width="13.5703125" style="10" bestFit="1" customWidth="1"/>
    <col min="14344" max="14344" width="13.42578125" style="10" bestFit="1" customWidth="1"/>
    <col min="14345" max="14346" width="9.140625" style="10"/>
    <col min="14347" max="14347" width="11.5703125" style="10" bestFit="1" customWidth="1"/>
    <col min="14348" max="14348" width="9.140625" style="10"/>
    <col min="14349" max="14349" width="13.85546875" style="10" customWidth="1"/>
    <col min="14350" max="14591" width="9.140625" style="10"/>
    <col min="14592" max="14592" width="2.42578125" style="10" customWidth="1"/>
    <col min="14593" max="14593" width="5.28515625" style="10" customWidth="1"/>
    <col min="14594" max="14594" width="53.5703125" style="10" customWidth="1"/>
    <col min="14595" max="14595" width="5.42578125" style="10" customWidth="1"/>
    <col min="14596" max="14596" width="36.28515625" style="10" customWidth="1"/>
    <col min="14597" max="14597" width="14.28515625" style="10" customWidth="1"/>
    <col min="14598" max="14598" width="15.140625" style="10" customWidth="1"/>
    <col min="14599" max="14599" width="13.5703125" style="10" bestFit="1" customWidth="1"/>
    <col min="14600" max="14600" width="13.42578125" style="10" bestFit="1" customWidth="1"/>
    <col min="14601" max="14602" width="9.140625" style="10"/>
    <col min="14603" max="14603" width="11.5703125" style="10" bestFit="1" customWidth="1"/>
    <col min="14604" max="14604" width="9.140625" style="10"/>
    <col min="14605" max="14605" width="13.85546875" style="10" customWidth="1"/>
    <col min="14606" max="14847" width="9.140625" style="10"/>
    <col min="14848" max="14848" width="2.42578125" style="10" customWidth="1"/>
    <col min="14849" max="14849" width="5.28515625" style="10" customWidth="1"/>
    <col min="14850" max="14850" width="53.5703125" style="10" customWidth="1"/>
    <col min="14851" max="14851" width="5.42578125" style="10" customWidth="1"/>
    <col min="14852" max="14852" width="36.28515625" style="10" customWidth="1"/>
    <col min="14853" max="14853" width="14.28515625" style="10" customWidth="1"/>
    <col min="14854" max="14854" width="15.140625" style="10" customWidth="1"/>
    <col min="14855" max="14855" width="13.5703125" style="10" bestFit="1" customWidth="1"/>
    <col min="14856" max="14856" width="13.42578125" style="10" bestFit="1" customWidth="1"/>
    <col min="14857" max="14858" width="9.140625" style="10"/>
    <col min="14859" max="14859" width="11.5703125" style="10" bestFit="1" customWidth="1"/>
    <col min="14860" max="14860" width="9.140625" style="10"/>
    <col min="14861" max="14861" width="13.85546875" style="10" customWidth="1"/>
    <col min="14862" max="15103" width="9.140625" style="10"/>
    <col min="15104" max="15104" width="2.42578125" style="10" customWidth="1"/>
    <col min="15105" max="15105" width="5.28515625" style="10" customWidth="1"/>
    <col min="15106" max="15106" width="53.5703125" style="10" customWidth="1"/>
    <col min="15107" max="15107" width="5.42578125" style="10" customWidth="1"/>
    <col min="15108" max="15108" width="36.28515625" style="10" customWidth="1"/>
    <col min="15109" max="15109" width="14.28515625" style="10" customWidth="1"/>
    <col min="15110" max="15110" width="15.140625" style="10" customWidth="1"/>
    <col min="15111" max="15111" width="13.5703125" style="10" bestFit="1" customWidth="1"/>
    <col min="15112" max="15112" width="13.42578125" style="10" bestFit="1" customWidth="1"/>
    <col min="15113" max="15114" width="9.140625" style="10"/>
    <col min="15115" max="15115" width="11.5703125" style="10" bestFit="1" customWidth="1"/>
    <col min="15116" max="15116" width="9.140625" style="10"/>
    <col min="15117" max="15117" width="13.85546875" style="10" customWidth="1"/>
    <col min="15118" max="15359" width="9.140625" style="10"/>
    <col min="15360" max="15360" width="2.42578125" style="10" customWidth="1"/>
    <col min="15361" max="15361" width="5.28515625" style="10" customWidth="1"/>
    <col min="15362" max="15362" width="53.5703125" style="10" customWidth="1"/>
    <col min="15363" max="15363" width="5.42578125" style="10" customWidth="1"/>
    <col min="15364" max="15364" width="36.28515625" style="10" customWidth="1"/>
    <col min="15365" max="15365" width="14.28515625" style="10" customWidth="1"/>
    <col min="15366" max="15366" width="15.140625" style="10" customWidth="1"/>
    <col min="15367" max="15367" width="13.5703125" style="10" bestFit="1" customWidth="1"/>
    <col min="15368" max="15368" width="13.42578125" style="10" bestFit="1" customWidth="1"/>
    <col min="15369" max="15370" width="9.140625" style="10"/>
    <col min="15371" max="15371" width="11.5703125" style="10" bestFit="1" customWidth="1"/>
    <col min="15372" max="15372" width="9.140625" style="10"/>
    <col min="15373" max="15373" width="13.85546875" style="10" customWidth="1"/>
    <col min="15374" max="15615" width="9.140625" style="10"/>
    <col min="15616" max="15616" width="2.42578125" style="10" customWidth="1"/>
    <col min="15617" max="15617" width="5.28515625" style="10" customWidth="1"/>
    <col min="15618" max="15618" width="53.5703125" style="10" customWidth="1"/>
    <col min="15619" max="15619" width="5.42578125" style="10" customWidth="1"/>
    <col min="15620" max="15620" width="36.28515625" style="10" customWidth="1"/>
    <col min="15621" max="15621" width="14.28515625" style="10" customWidth="1"/>
    <col min="15622" max="15622" width="15.140625" style="10" customWidth="1"/>
    <col min="15623" max="15623" width="13.5703125" style="10" bestFit="1" customWidth="1"/>
    <col min="15624" max="15624" width="13.42578125" style="10" bestFit="1" customWidth="1"/>
    <col min="15625" max="15626" width="9.140625" style="10"/>
    <col min="15627" max="15627" width="11.5703125" style="10" bestFit="1" customWidth="1"/>
    <col min="15628" max="15628" width="9.140625" style="10"/>
    <col min="15629" max="15629" width="13.85546875" style="10" customWidth="1"/>
    <col min="15630" max="15871" width="9.140625" style="10"/>
    <col min="15872" max="15872" width="2.42578125" style="10" customWidth="1"/>
    <col min="15873" max="15873" width="5.28515625" style="10" customWidth="1"/>
    <col min="15874" max="15874" width="53.5703125" style="10" customWidth="1"/>
    <col min="15875" max="15875" width="5.42578125" style="10" customWidth="1"/>
    <col min="15876" max="15876" width="36.28515625" style="10" customWidth="1"/>
    <col min="15877" max="15877" width="14.28515625" style="10" customWidth="1"/>
    <col min="15878" max="15878" width="15.140625" style="10" customWidth="1"/>
    <col min="15879" max="15879" width="13.5703125" style="10" bestFit="1" customWidth="1"/>
    <col min="15880" max="15880" width="13.42578125" style="10" bestFit="1" customWidth="1"/>
    <col min="15881" max="15882" width="9.140625" style="10"/>
    <col min="15883" max="15883" width="11.5703125" style="10" bestFit="1" customWidth="1"/>
    <col min="15884" max="15884" width="9.140625" style="10"/>
    <col min="15885" max="15885" width="13.85546875" style="10" customWidth="1"/>
    <col min="15886" max="16127" width="9.140625" style="10"/>
    <col min="16128" max="16128" width="2.42578125" style="10" customWidth="1"/>
    <col min="16129" max="16129" width="5.28515625" style="10" customWidth="1"/>
    <col min="16130" max="16130" width="53.5703125" style="10" customWidth="1"/>
    <col min="16131" max="16131" width="5.42578125" style="10" customWidth="1"/>
    <col min="16132" max="16132" width="36.28515625" style="10" customWidth="1"/>
    <col min="16133" max="16133" width="14.28515625" style="10" customWidth="1"/>
    <col min="16134" max="16134" width="15.140625" style="10" customWidth="1"/>
    <col min="16135" max="16135" width="13.5703125" style="10" bestFit="1" customWidth="1"/>
    <col min="16136" max="16136" width="13.42578125" style="10" bestFit="1" customWidth="1"/>
    <col min="16137" max="16138" width="9.140625" style="10"/>
    <col min="16139" max="16139" width="11.5703125" style="10" bestFit="1" customWidth="1"/>
    <col min="16140" max="16140" width="9.140625" style="10"/>
    <col min="16141" max="16141" width="13.85546875" style="10" customWidth="1"/>
    <col min="16142" max="16384" width="9.140625" style="10"/>
  </cols>
  <sheetData>
    <row r="1" spans="2:23" ht="18" x14ac:dyDescent="0.25">
      <c r="D1" s="241" t="s">
        <v>42</v>
      </c>
      <c r="E1" s="241"/>
      <c r="F1" s="241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2:23" ht="15.75" x14ac:dyDescent="0.25">
      <c r="C2" s="175"/>
      <c r="D2" s="242" t="s">
        <v>99</v>
      </c>
      <c r="E2" s="242"/>
      <c r="F2" s="24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2:23" ht="30" customHeight="1" x14ac:dyDescent="0.25">
      <c r="C3" s="181"/>
      <c r="D3" s="243" t="s">
        <v>156</v>
      </c>
      <c r="E3" s="243"/>
      <c r="F3" s="24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2:23" ht="16.5" thickBot="1" x14ac:dyDescent="0.3">
      <c r="C4" s="175"/>
      <c r="D4" s="175"/>
      <c r="E4" s="176"/>
      <c r="F4" s="176"/>
      <c r="G4" s="177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45"/>
      <c r="T4" s="245"/>
      <c r="U4" s="11"/>
      <c r="V4" s="11"/>
      <c r="W4" s="11"/>
    </row>
    <row r="5" spans="2:23" ht="45" x14ac:dyDescent="0.25">
      <c r="C5" s="182" t="s">
        <v>43</v>
      </c>
      <c r="D5" s="131" t="s">
        <v>44</v>
      </c>
      <c r="E5" s="132" t="s">
        <v>45</v>
      </c>
      <c r="F5" s="133" t="s">
        <v>46</v>
      </c>
    </row>
    <row r="6" spans="2:23" ht="28.5" x14ac:dyDescent="0.25">
      <c r="B6" s="10" t="s">
        <v>70</v>
      </c>
      <c r="C6" s="121" t="str">
        <f>IF(LEN(B6)=0,"",CONCATENATE(B6,COUNTIF($B$5:B6,B6)))</f>
        <v>A1</v>
      </c>
      <c r="D6" s="68" t="s">
        <v>98</v>
      </c>
      <c r="E6" s="69" t="s">
        <v>97</v>
      </c>
      <c r="F6" s="70">
        <v>200</v>
      </c>
      <c r="H6" s="22"/>
    </row>
    <row r="7" spans="2:23" x14ac:dyDescent="0.25">
      <c r="B7" s="10" t="str">
        <f>B6</f>
        <v>A</v>
      </c>
      <c r="C7" s="121" t="str">
        <f>IF(LEN(B7)=0,"",CONCATENATE(B7,COUNTIF($B$5:B7,B7)))</f>
        <v>A2</v>
      </c>
      <c r="D7" s="71" t="s">
        <v>53</v>
      </c>
      <c r="E7" s="72" t="s">
        <v>109</v>
      </c>
      <c r="F7" s="73">
        <v>20</v>
      </c>
    </row>
    <row r="8" spans="2:23" ht="28.5" x14ac:dyDescent="0.25">
      <c r="B8" s="10" t="str">
        <f t="shared" ref="B8:B72" si="0">B7</f>
        <v>A</v>
      </c>
      <c r="C8" s="121" t="str">
        <f>IF(LEN(B8)=0,"",CONCATENATE(B8,COUNTIF($B$5:B8,B8)))</f>
        <v>A3</v>
      </c>
      <c r="D8" s="71" t="s">
        <v>50</v>
      </c>
      <c r="E8" s="72" t="s">
        <v>181</v>
      </c>
      <c r="F8" s="74">
        <f>H8/(1+$F$14)</f>
        <v>2442.4476100777019</v>
      </c>
      <c r="H8" s="23">
        <f>4149.23</f>
        <v>4149.2299999999996</v>
      </c>
    </row>
    <row r="9" spans="2:23" ht="28.5" x14ac:dyDescent="0.25">
      <c r="B9" s="10" t="str">
        <f t="shared" si="0"/>
        <v>A</v>
      </c>
      <c r="C9" s="121" t="str">
        <f>IF(LEN(B9)=0,"",CONCATENATE(B9,COUNTIF($B$5:B9,B9)))</f>
        <v>A4</v>
      </c>
      <c r="D9" s="71" t="s">
        <v>51</v>
      </c>
      <c r="E9" s="72" t="s">
        <v>182</v>
      </c>
      <c r="F9" s="74">
        <f>H9/(1+$F$14)</f>
        <v>2766.9295973628446</v>
      </c>
      <c r="H9" s="236">
        <v>4700.46</v>
      </c>
    </row>
    <row r="10" spans="2:23" ht="28.5" x14ac:dyDescent="0.25">
      <c r="B10" s="10" t="str">
        <f t="shared" si="0"/>
        <v>A</v>
      </c>
      <c r="C10" s="121" t="str">
        <f>IF(LEN(B10)=0,"",CONCATENATE(B10,COUNTIF($B$5:B10,B10)))</f>
        <v>A5</v>
      </c>
      <c r="D10" s="71" t="s">
        <v>52</v>
      </c>
      <c r="E10" s="72" t="s">
        <v>183</v>
      </c>
      <c r="F10" s="74">
        <f>H10/(1+$F$14)</f>
        <v>2186.7965622792558</v>
      </c>
      <c r="H10" s="236">
        <v>3714.93</v>
      </c>
    </row>
    <row r="11" spans="2:23" x14ac:dyDescent="0.25">
      <c r="B11" s="10" t="str">
        <f t="shared" si="0"/>
        <v>A</v>
      </c>
      <c r="C11" s="121" t="str">
        <f>IF(LEN(B11)=0,"",CONCATENATE(B11,COUNTIF($B$5:B11,B11)))</f>
        <v>A6</v>
      </c>
      <c r="D11" s="71" t="s">
        <v>29</v>
      </c>
      <c r="E11" s="72" t="s">
        <v>107</v>
      </c>
      <c r="F11" s="75">
        <v>0.3</v>
      </c>
    </row>
    <row r="12" spans="2:23" x14ac:dyDescent="0.25">
      <c r="B12" s="10" t="str">
        <f t="shared" si="0"/>
        <v>A</v>
      </c>
      <c r="C12" s="121" t="str">
        <f>IF(LEN(B12)=0,"",CONCATENATE(B12,COUNTIF($B$5:B12,B12)))</f>
        <v>A7</v>
      </c>
      <c r="D12" s="76" t="s">
        <v>32</v>
      </c>
      <c r="E12" s="72" t="s">
        <v>107</v>
      </c>
      <c r="F12" s="77">
        <v>0</v>
      </c>
    </row>
    <row r="13" spans="2:23" x14ac:dyDescent="0.25">
      <c r="B13" s="10" t="str">
        <f t="shared" si="0"/>
        <v>A</v>
      </c>
      <c r="C13" s="121" t="str">
        <f>IF(LEN(B13)=0,"",CONCATENATE(B13,COUNTIF($B$5:B13,B13)))</f>
        <v>A8</v>
      </c>
      <c r="D13" s="76" t="s">
        <v>30</v>
      </c>
      <c r="E13" s="72" t="s">
        <v>107</v>
      </c>
      <c r="F13" s="77">
        <v>0</v>
      </c>
    </row>
    <row r="14" spans="2:23" ht="42.75" x14ac:dyDescent="0.25">
      <c r="B14" s="10" t="str">
        <f t="shared" si="0"/>
        <v>A</v>
      </c>
      <c r="C14" s="121" t="str">
        <f>IF(LEN(B14)=0,"",CONCATENATE(B14,COUNTIF($B$5:B14,B14)))</f>
        <v>A9</v>
      </c>
      <c r="D14" s="78" t="s">
        <v>5</v>
      </c>
      <c r="E14" s="79" t="s">
        <v>167</v>
      </c>
      <c r="F14" s="80">
        <v>0.69879999999999998</v>
      </c>
      <c r="J14" s="10">
        <f>1.36/6.82</f>
        <v>0.1994134897360704</v>
      </c>
    </row>
    <row r="15" spans="2:23" ht="28.5" x14ac:dyDescent="0.25">
      <c r="B15" s="10" t="str">
        <f t="shared" si="0"/>
        <v>A</v>
      </c>
      <c r="C15" s="121" t="str">
        <f>IF(LEN(B15)=0,"",CONCATENATE(B15,COUNTIF($B$5:B15,B15)))</f>
        <v>A10</v>
      </c>
      <c r="D15" s="81" t="s">
        <v>54</v>
      </c>
      <c r="E15" s="72" t="s">
        <v>111</v>
      </c>
      <c r="F15" s="240">
        <v>4.5999999999999996</v>
      </c>
    </row>
    <row r="16" spans="2:23" x14ac:dyDescent="0.25">
      <c r="B16" s="10" t="str">
        <f t="shared" si="0"/>
        <v>A</v>
      </c>
      <c r="C16" s="121" t="str">
        <f>IF(LEN(B16)=0,"",CONCATENATE(B16,COUNTIF($B$5:B16,B16)))</f>
        <v>A11</v>
      </c>
      <c r="D16" s="81" t="s">
        <v>55</v>
      </c>
      <c r="E16" s="82" t="s">
        <v>108</v>
      </c>
      <c r="F16" s="83">
        <v>0.06</v>
      </c>
      <c r="G16" s="10" t="str">
        <f>PROPER(E16)</f>
        <v>Lei Nº 7.418, De 16 De Dezembro De 1985.</v>
      </c>
    </row>
    <row r="17" spans="2:16" ht="29.25" thickBot="1" x14ac:dyDescent="0.3">
      <c r="B17" s="10" t="str">
        <f t="shared" si="0"/>
        <v>A</v>
      </c>
      <c r="C17" s="121" t="str">
        <f>IF(LEN(B17)=0,"",CONCATENATE(B17,COUNTIF($B$5:B17,B17)))</f>
        <v>A12</v>
      </c>
      <c r="D17" s="78" t="s">
        <v>33</v>
      </c>
      <c r="E17" s="72" t="s">
        <v>168</v>
      </c>
      <c r="F17" s="74">
        <f>H17/(1+$F$14)</f>
        <v>140.59336001883685</v>
      </c>
      <c r="H17" s="237">
        <v>238.84</v>
      </c>
    </row>
    <row r="18" spans="2:16" ht="29.25" thickBot="1" x14ac:dyDescent="0.3">
      <c r="B18" s="10" t="str">
        <f t="shared" si="0"/>
        <v>A</v>
      </c>
      <c r="C18" s="121" t="str">
        <f>IF(LEN(B18)=0,"",CONCATENATE(B18,COUNTIF($B$5:B18,B18)))</f>
        <v>A13</v>
      </c>
      <c r="D18" s="78" t="s">
        <v>103</v>
      </c>
      <c r="E18" s="79" t="s">
        <v>169</v>
      </c>
      <c r="F18" s="74">
        <f t="shared" ref="F18:F20" si="1">H18/(1+$F$14)</f>
        <v>126.20673416529316</v>
      </c>
      <c r="G18" s="10" t="s">
        <v>34</v>
      </c>
      <c r="H18" s="238">
        <v>214.4</v>
      </c>
    </row>
    <row r="19" spans="2:16" ht="28.5" x14ac:dyDescent="0.25">
      <c r="B19" s="10" t="str">
        <f t="shared" si="0"/>
        <v>A</v>
      </c>
      <c r="C19" s="121" t="str">
        <f>IF(LEN(B19)=0,"",CONCATENATE(B19,COUNTIF($B$5:B19,B19)))</f>
        <v>A14</v>
      </c>
      <c r="D19" s="71" t="s">
        <v>104</v>
      </c>
      <c r="E19" s="79" t="s">
        <v>170</v>
      </c>
      <c r="F19" s="74">
        <f t="shared" si="1"/>
        <v>95.237814928184605</v>
      </c>
      <c r="G19" s="10" t="s">
        <v>35</v>
      </c>
      <c r="H19" s="10">
        <v>161.79</v>
      </c>
    </row>
    <row r="20" spans="2:16" ht="28.5" x14ac:dyDescent="0.25">
      <c r="B20" s="10" t="str">
        <f t="shared" si="0"/>
        <v>A</v>
      </c>
      <c r="C20" s="121" t="str">
        <f>IF(LEN(B20)=0,"",CONCATENATE(B20,COUNTIF($B$5:B20,B20)))</f>
        <v>A15</v>
      </c>
      <c r="D20" s="78" t="s">
        <v>105</v>
      </c>
      <c r="E20" s="79" t="s">
        <v>171</v>
      </c>
      <c r="F20" s="74">
        <f t="shared" si="1"/>
        <v>90.964210030609848</v>
      </c>
      <c r="G20" s="10" t="s">
        <v>36</v>
      </c>
      <c r="H20" s="10">
        <v>154.53</v>
      </c>
    </row>
    <row r="21" spans="2:16" ht="28.5" x14ac:dyDescent="0.25">
      <c r="B21" s="10" t="str">
        <f t="shared" si="0"/>
        <v>A</v>
      </c>
      <c r="C21" s="121" t="str">
        <f>IF(LEN(B21)=0,"",CONCATENATE(B21,COUNTIF($B$5:B21,B21)))</f>
        <v>A16</v>
      </c>
      <c r="D21" s="207" t="s">
        <v>100</v>
      </c>
      <c r="E21" s="208" t="s">
        <v>106</v>
      </c>
      <c r="F21" s="217">
        <f>'Anexo 2'!J8</f>
        <v>707.5</v>
      </c>
    </row>
    <row r="22" spans="2:16" ht="57" x14ac:dyDescent="0.25">
      <c r="B22" s="10" t="str">
        <f t="shared" si="0"/>
        <v>A</v>
      </c>
      <c r="C22" s="121" t="str">
        <f>IF(LEN(B22)=0,"",CONCATENATE(B22,COUNTIF($B$5:B22,B22)))</f>
        <v>A17</v>
      </c>
      <c r="D22" s="205" t="s">
        <v>150</v>
      </c>
      <c r="E22" s="84" t="s">
        <v>149</v>
      </c>
      <c r="F22" s="206">
        <v>300257.58</v>
      </c>
      <c r="G22" s="12">
        <f>F22*(1-F24)</f>
        <v>240206.06400000001</v>
      </c>
      <c r="H22" s="224">
        <f>G22/6</f>
        <v>40034.344000000005</v>
      </c>
      <c r="N22" s="218"/>
      <c r="O22" s="219"/>
      <c r="P22" s="220"/>
    </row>
    <row r="23" spans="2:16" ht="85.5" x14ac:dyDescent="0.25">
      <c r="B23" s="10" t="str">
        <f t="shared" si="0"/>
        <v>A</v>
      </c>
      <c r="C23" s="121" t="str">
        <f>IF(LEN(B23)=0,"",CONCATENATE(B23,COUNTIF($B$5:B23,B23)))</f>
        <v>A18</v>
      </c>
      <c r="D23" s="205" t="s">
        <v>112</v>
      </c>
      <c r="E23" s="84" t="s">
        <v>172</v>
      </c>
      <c r="F23" s="206">
        <v>137427.14000000001</v>
      </c>
      <c r="H23" s="224">
        <f>H22/2000</f>
        <v>20.017172000000002</v>
      </c>
    </row>
    <row r="24" spans="2:16" x14ac:dyDescent="0.25">
      <c r="B24" s="10" t="str">
        <f>B22</f>
        <v>A</v>
      </c>
      <c r="C24" s="121" t="str">
        <f>IF(LEN(B24)=0,"",CONCATENATE(B24,COUNTIF($B$5:B24,B24)))</f>
        <v>A19</v>
      </c>
      <c r="D24" s="85" t="s">
        <v>147</v>
      </c>
      <c r="E24" s="84" t="s">
        <v>154</v>
      </c>
      <c r="F24" s="227">
        <v>0.2</v>
      </c>
    </row>
    <row r="25" spans="2:16" x14ac:dyDescent="0.25">
      <c r="B25" s="10" t="str">
        <f>B23</f>
        <v>A</v>
      </c>
      <c r="C25" s="121" t="str">
        <f>IF(LEN(B25)=0,"",CONCATENATE(B25,COUNTIF($B$5:B25,B25)))</f>
        <v>A20</v>
      </c>
      <c r="D25" s="85" t="s">
        <v>148</v>
      </c>
      <c r="E25" s="84" t="s">
        <v>155</v>
      </c>
      <c r="F25" s="226">
        <v>10</v>
      </c>
    </row>
    <row r="26" spans="2:16" ht="28.5" x14ac:dyDescent="0.25">
      <c r="B26" s="10" t="str">
        <f t="shared" si="0"/>
        <v>A</v>
      </c>
      <c r="C26" s="121" t="str">
        <f>IF(LEN(B26)=0,"",CONCATENATE(B26,COUNTIF($B$5:B26,B26)))</f>
        <v>A21</v>
      </c>
      <c r="D26" s="85" t="s">
        <v>25</v>
      </c>
      <c r="E26" s="86" t="s">
        <v>26</v>
      </c>
      <c r="F26" s="88">
        <v>6.25E-2</v>
      </c>
    </row>
    <row r="27" spans="2:16" ht="85.5" x14ac:dyDescent="0.25">
      <c r="B27" s="10" t="str">
        <f>B26</f>
        <v>A</v>
      </c>
      <c r="C27" s="121" t="str">
        <f>IF(LEN(B27)=0,"",CONCATENATE(B27,COUNTIF($B$5:B27,B27)))</f>
        <v>A22</v>
      </c>
      <c r="D27" s="85" t="s">
        <v>22</v>
      </c>
      <c r="E27" s="84" t="s">
        <v>120</v>
      </c>
      <c r="F27" s="88">
        <v>0.06</v>
      </c>
      <c r="J27" s="10">
        <f>60*0.35</f>
        <v>21</v>
      </c>
    </row>
    <row r="28" spans="2:16" ht="28.5" x14ac:dyDescent="0.25">
      <c r="B28" s="10" t="str">
        <f>B27</f>
        <v>A</v>
      </c>
      <c r="C28" s="121" t="str">
        <f>IF(LEN(B28)=0,"",CONCATENATE(B28,COUNTIF($B$5:B28,B28)))</f>
        <v>A23</v>
      </c>
      <c r="D28" s="85" t="s">
        <v>21</v>
      </c>
      <c r="E28" s="86" t="s">
        <v>114</v>
      </c>
      <c r="F28" s="89">
        <v>0.01</v>
      </c>
    </row>
    <row r="29" spans="2:16" ht="28.5" x14ac:dyDescent="0.25">
      <c r="B29" s="10" t="str">
        <f>B28</f>
        <v>A</v>
      </c>
      <c r="C29" s="121" t="str">
        <f>IF(LEN(B29)=0,"",CONCATENATE(B29,COUNTIF($B$5:B29,B29)))</f>
        <v>A24</v>
      </c>
      <c r="D29" s="85" t="s">
        <v>9</v>
      </c>
      <c r="E29" s="86" t="s">
        <v>113</v>
      </c>
      <c r="F29" s="90">
        <v>0</v>
      </c>
    </row>
    <row r="30" spans="2:16" ht="15.75" x14ac:dyDescent="0.25">
      <c r="B30" s="10" t="str">
        <f>B29</f>
        <v>A</v>
      </c>
      <c r="C30" s="121" t="str">
        <f>IF(LEN(B30)=0,"",CONCATENATE(B30,COUNTIF($B$5:B30,B30)))</f>
        <v>A25</v>
      </c>
      <c r="D30" s="85" t="s">
        <v>8</v>
      </c>
      <c r="E30" s="84" t="s">
        <v>116</v>
      </c>
      <c r="F30" s="90">
        <v>66.7</v>
      </c>
      <c r="H30" s="24" t="s">
        <v>115</v>
      </c>
    </row>
    <row r="31" spans="2:16" x14ac:dyDescent="0.25">
      <c r="B31" s="10" t="str">
        <f t="shared" si="0"/>
        <v>A</v>
      </c>
      <c r="C31" s="121" t="str">
        <f>IF(LEN(B31)=0,"",CONCATENATE(B31,COUNTIF($B$5:B31,B31)))</f>
        <v>A26</v>
      </c>
      <c r="D31" s="85" t="s">
        <v>152</v>
      </c>
      <c r="E31" s="84" t="s">
        <v>160</v>
      </c>
      <c r="F31" s="221">
        <f>7.32</f>
        <v>7.32</v>
      </c>
      <c r="G31" s="10">
        <v>7</v>
      </c>
    </row>
    <row r="32" spans="2:16" ht="29.25" thickBot="1" x14ac:dyDescent="0.3">
      <c r="B32" s="10" t="str">
        <f t="shared" si="0"/>
        <v>A</v>
      </c>
      <c r="C32" s="121" t="str">
        <f>IF(LEN(B32)=0,"",CONCATENATE(B32,COUNTIF($B$5:B32,B32)))</f>
        <v>A27</v>
      </c>
      <c r="D32" s="85" t="s">
        <v>20</v>
      </c>
      <c r="E32" s="86" t="s">
        <v>184</v>
      </c>
      <c r="F32" s="90">
        <v>5.17</v>
      </c>
    </row>
    <row r="33" spans="2:7" ht="45" x14ac:dyDescent="0.25">
      <c r="C33" s="182" t="s">
        <v>43</v>
      </c>
      <c r="D33" s="131" t="s">
        <v>44</v>
      </c>
      <c r="E33" s="132" t="s">
        <v>45</v>
      </c>
      <c r="F33" s="133" t="s">
        <v>46</v>
      </c>
    </row>
    <row r="34" spans="2:7" ht="99.75" x14ac:dyDescent="0.25">
      <c r="B34" s="10" t="str">
        <f>B32</f>
        <v>A</v>
      </c>
      <c r="C34" s="121" t="str">
        <f>IF(LEN(B34)=0,"",CONCATENATE(B34,COUNTIF($B$5:B34,B34)))</f>
        <v>A28</v>
      </c>
      <c r="D34" s="85" t="s">
        <v>75</v>
      </c>
      <c r="E34" s="84" t="s">
        <v>118</v>
      </c>
      <c r="F34" s="91">
        <f>(0.37+0.45)/2</f>
        <v>0.41000000000000003</v>
      </c>
    </row>
    <row r="35" spans="2:7" ht="71.25" x14ac:dyDescent="0.25">
      <c r="B35" s="10" t="str">
        <f t="shared" ref="B35:B37" si="2">B34</f>
        <v>A</v>
      </c>
      <c r="C35" s="121" t="str">
        <f>IF(LEN(B35)=0,"",CONCATENATE(B35,COUNTIF($B$5:B35,B35)))</f>
        <v>A29</v>
      </c>
      <c r="D35" s="85" t="s">
        <v>117</v>
      </c>
      <c r="E35" s="84" t="s">
        <v>119</v>
      </c>
      <c r="F35" s="92">
        <f>(0.029+0.024)/2</f>
        <v>2.6500000000000003E-2</v>
      </c>
    </row>
    <row r="36" spans="2:7" ht="28.5" x14ac:dyDescent="0.25">
      <c r="B36" s="10" t="str">
        <f t="shared" si="2"/>
        <v>A</v>
      </c>
      <c r="C36" s="239" t="str">
        <f>IF(LEN(B36)=0,"",CONCATENATE(B36,COUNTIF($B$5:B36,B36)))</f>
        <v>A30</v>
      </c>
      <c r="D36" s="205" t="s">
        <v>31</v>
      </c>
      <c r="E36" s="84" t="s">
        <v>185</v>
      </c>
      <c r="F36" s="209">
        <v>981.87</v>
      </c>
    </row>
    <row r="37" spans="2:7" x14ac:dyDescent="0.25">
      <c r="B37" s="10" t="str">
        <f t="shared" si="2"/>
        <v>A</v>
      </c>
      <c r="C37" s="121" t="str">
        <f>IF(LEN(B37)=0,"",CONCATENATE(B37,COUNTIF($B$5:B37,B37)))</f>
        <v>A31</v>
      </c>
      <c r="D37" s="85" t="s">
        <v>27</v>
      </c>
      <c r="E37" s="84" t="s">
        <v>159</v>
      </c>
      <c r="F37" s="230">
        <f>F36/2</f>
        <v>490.935</v>
      </c>
      <c r="G37" s="10" t="s">
        <v>143</v>
      </c>
    </row>
    <row r="38" spans="2:7" ht="81" customHeight="1" x14ac:dyDescent="0.25">
      <c r="B38" s="10" t="str">
        <f t="shared" ref="B38:B39" si="3">B37</f>
        <v>A</v>
      </c>
      <c r="C38" s="121" t="str">
        <f>IF(LEN(B38)=0,"",CONCATENATE(B38,COUNTIF($B$5:B38,B38)))</f>
        <v>A32</v>
      </c>
      <c r="D38" s="85" t="s">
        <v>28</v>
      </c>
      <c r="E38" s="84" t="s">
        <v>142</v>
      </c>
      <c r="F38" s="93">
        <v>2</v>
      </c>
    </row>
    <row r="39" spans="2:7" ht="76.5" customHeight="1" x14ac:dyDescent="0.25">
      <c r="B39" s="10" t="str">
        <f t="shared" si="3"/>
        <v>A</v>
      </c>
      <c r="C39" s="121" t="str">
        <f>IF(LEN(B39)=0,"",CONCATENATE(B39,COUNTIF($B$5:B39,B39)))</f>
        <v>A33</v>
      </c>
      <c r="D39" s="85" t="s">
        <v>7</v>
      </c>
      <c r="E39" s="84" t="s">
        <v>141</v>
      </c>
      <c r="F39" s="94">
        <v>85000</v>
      </c>
    </row>
    <row r="40" spans="2:7" ht="28.5" x14ac:dyDescent="0.25">
      <c r="B40" s="10" t="str">
        <f t="shared" si="0"/>
        <v>A</v>
      </c>
      <c r="C40" s="121" t="str">
        <f>IF(LEN(B40)=0,"",CONCATENATE(B40,COUNTIF($B$5:B40,B40)))</f>
        <v>A34</v>
      </c>
      <c r="D40" s="85" t="s">
        <v>11</v>
      </c>
      <c r="E40" s="84" t="s">
        <v>177</v>
      </c>
      <c r="F40" s="88">
        <f>'Anexo 3'!C13</f>
        <v>0.18609999999999999</v>
      </c>
    </row>
    <row r="41" spans="2:7" ht="28.5" x14ac:dyDescent="0.25">
      <c r="B41" s="10" t="str">
        <f t="shared" si="0"/>
        <v>A</v>
      </c>
      <c r="C41" s="121" t="str">
        <f>IF(LEN(B41)=0,"",CONCATENATE(B41,COUNTIF($B$5:B41,B41)))</f>
        <v>A35</v>
      </c>
      <c r="D41" s="85" t="s">
        <v>23</v>
      </c>
      <c r="E41" s="86" t="s">
        <v>24</v>
      </c>
      <c r="F41" s="95">
        <f>ROUND(365/(7*12)*5,2)</f>
        <v>21.73</v>
      </c>
    </row>
    <row r="42" spans="2:7" ht="28.5" x14ac:dyDescent="0.25">
      <c r="B42" s="10" t="str">
        <f t="shared" si="0"/>
        <v>A</v>
      </c>
      <c r="C42" s="121" t="str">
        <f>IF(LEN(B42)=0,"",CONCATENATE(B42,COUNTIF($B$5:B42,B42)))</f>
        <v>A36</v>
      </c>
      <c r="D42" s="85" t="s">
        <v>60</v>
      </c>
      <c r="E42" s="84" t="s">
        <v>61</v>
      </c>
      <c r="F42" s="96">
        <f>F7/8</f>
        <v>2.5</v>
      </c>
    </row>
    <row r="43" spans="2:7" ht="108.75" customHeight="1" x14ac:dyDescent="0.25">
      <c r="B43" s="10" t="str">
        <f t="shared" si="0"/>
        <v>A</v>
      </c>
      <c r="C43" s="183" t="str">
        <f>IF(LEN(B43)=0,"",CONCATENATE(B43,COUNTIF($B$5:B43,B43)))</f>
        <v>A37</v>
      </c>
      <c r="D43" s="229" t="s">
        <v>158</v>
      </c>
      <c r="E43" s="87" t="s">
        <v>179</v>
      </c>
      <c r="F43" s="97">
        <f>ROUND(1.0487*60,2)</f>
        <v>62.92</v>
      </c>
      <c r="G43" s="66" t="s">
        <v>144</v>
      </c>
    </row>
    <row r="44" spans="2:7" ht="28.5" x14ac:dyDescent="0.25">
      <c r="B44" s="10" t="str">
        <f t="shared" si="0"/>
        <v>A</v>
      </c>
      <c r="C44" s="183" t="str">
        <f>IF(LEN(B44)=0,"",CONCATENATE(B44,COUNTIF($B$5:B44,B44)))</f>
        <v>A38</v>
      </c>
      <c r="D44" s="229" t="s">
        <v>157</v>
      </c>
      <c r="E44" s="228" t="s">
        <v>188</v>
      </c>
      <c r="F44" s="225">
        <v>8000</v>
      </c>
      <c r="G44" s="66"/>
    </row>
    <row r="45" spans="2:7" ht="15.75" thickBot="1" x14ac:dyDescent="0.3">
      <c r="C45" s="184" t="str">
        <f>IF(LEN(B45)=0,"",CONCATENATE(B45,COUNTIF($B$5:B45,B45)))</f>
        <v/>
      </c>
      <c r="D45" s="246"/>
      <c r="E45" s="246"/>
      <c r="F45" s="246"/>
    </row>
    <row r="46" spans="2:7" ht="6" customHeight="1" thickBot="1" x14ac:dyDescent="0.3">
      <c r="C46" s="18" t="str">
        <f>IF(LEN(B46)=0,"",CONCATENATE(B46,COUNTIF($B$5:B46,B46)))</f>
        <v/>
      </c>
    </row>
    <row r="47" spans="2:7" ht="18" x14ac:dyDescent="0.25">
      <c r="C47" s="185" t="str">
        <f>IF(LEN(B47)=0,"",CONCATENATE(B47,COUNTIF($B$5:B47,B47)))</f>
        <v/>
      </c>
      <c r="D47" s="123" t="s">
        <v>102</v>
      </c>
      <c r="E47" s="122"/>
      <c r="F47" s="124"/>
    </row>
    <row r="48" spans="2:7" ht="18" x14ac:dyDescent="0.25">
      <c r="C48" s="186" t="str">
        <f>IF(LEN(B48)=0,"",CONCATENATE(B48,COUNTIF($B$5:B48,B48)))</f>
        <v/>
      </c>
      <c r="D48" s="111" t="s">
        <v>56</v>
      </c>
      <c r="E48" s="99"/>
      <c r="F48" s="112" t="s">
        <v>57</v>
      </c>
    </row>
    <row r="49" spans="2:9" ht="28.5" x14ac:dyDescent="0.25">
      <c r="B49" s="10" t="s">
        <v>71</v>
      </c>
      <c r="C49" s="187" t="str">
        <f>IF(LEN(B49)=0,"",CONCATENATE(B49,COUNTIF($B$5:B49,B49)))</f>
        <v>B1</v>
      </c>
      <c r="D49" s="202" t="s">
        <v>47</v>
      </c>
      <c r="E49" s="100" t="str">
        <f>$C$6</f>
        <v>A1</v>
      </c>
      <c r="F49" s="232">
        <f>F6</f>
        <v>200</v>
      </c>
    </row>
    <row r="50" spans="2:9" x14ac:dyDescent="0.25">
      <c r="B50" s="10" t="str">
        <f t="shared" si="0"/>
        <v>B</v>
      </c>
      <c r="C50" s="121" t="str">
        <f>IF(LEN(B50)=0,"",CONCATENATE(B50,COUNTIF($B$5:B50,B50)))</f>
        <v>B2</v>
      </c>
      <c r="D50" s="101" t="s">
        <v>84</v>
      </c>
      <c r="E50" s="102" t="str">
        <f>CONCATENATE($C$8,"/220 x ",$C49)</f>
        <v>A3/220 x B1</v>
      </c>
      <c r="F50" s="103">
        <f>F8/220*F49</f>
        <v>2220.4069182524563</v>
      </c>
    </row>
    <row r="51" spans="2:9" x14ac:dyDescent="0.25">
      <c r="B51" s="10" t="str">
        <f t="shared" si="0"/>
        <v>B</v>
      </c>
      <c r="C51" s="121" t="str">
        <f>IF(LEN(B51)=0,"",CONCATENATE(B51,COUNTIF($B$5:B51,B51)))</f>
        <v>B3</v>
      </c>
      <c r="D51" s="101" t="s">
        <v>85</v>
      </c>
      <c r="E51" s="102" t="str">
        <f>CONCATENATE($C$50," x ",$C$13)</f>
        <v>B2 x A8</v>
      </c>
      <c r="F51" s="103">
        <f>$F$50*$F$13</f>
        <v>0</v>
      </c>
    </row>
    <row r="52" spans="2:9" x14ac:dyDescent="0.25">
      <c r="B52" s="10" t="str">
        <f t="shared" si="0"/>
        <v>B</v>
      </c>
      <c r="C52" s="121" t="str">
        <f>IF(LEN(B52)=0,"",CONCATENATE(B52,COUNTIF($B$5:B52,B52)))</f>
        <v>B4</v>
      </c>
      <c r="D52" s="101" t="s">
        <v>86</v>
      </c>
      <c r="E52" s="102" t="str">
        <f>CONCATENATE("(",$C$50," + ",$C$51,") x ",$C$14)</f>
        <v>(B2 + B3) x A9</v>
      </c>
      <c r="F52" s="103">
        <f>SUM(F50:F51)*F14</f>
        <v>1551.6203544748164</v>
      </c>
    </row>
    <row r="53" spans="2:9" x14ac:dyDescent="0.25">
      <c r="B53" s="10" t="str">
        <f t="shared" si="0"/>
        <v>B</v>
      </c>
      <c r="C53" s="121" t="str">
        <f>IF(LEN(B53)=0,"",CONCATENATE(B53,COUNTIF($B$5:B53,B53)))</f>
        <v>B5</v>
      </c>
      <c r="D53" s="101" t="s">
        <v>87</v>
      </c>
      <c r="E53" s="104" t="str">
        <f>CONCATENATE($C$41," x ",$C$15," x 4 - (",C50," x ",$C$16,")")</f>
        <v>A35 x A10 x 4 - (B2 x A11)</v>
      </c>
      <c r="F53" s="105">
        <f>$F$41*$F$15*4-(F50*$F$16)</f>
        <v>266.60758490485262</v>
      </c>
      <c r="G53" s="12">
        <f>F50*6%</f>
        <v>133.22441509514738</v>
      </c>
      <c r="H53" s="12"/>
      <c r="I53" s="12" t="e">
        <f>#REF!-G53</f>
        <v>#REF!</v>
      </c>
    </row>
    <row r="54" spans="2:9" x14ac:dyDescent="0.25">
      <c r="B54" s="10" t="str">
        <f t="shared" si="0"/>
        <v>B</v>
      </c>
      <c r="C54" s="121" t="str">
        <f>IF(LEN(B54)=0,"",CONCATENATE(B54,COUNTIF($B$5:B54,B54)))</f>
        <v>B6</v>
      </c>
      <c r="D54" s="101" t="s">
        <v>88</v>
      </c>
      <c r="E54" s="104" t="str">
        <f>$C$17</f>
        <v>A12</v>
      </c>
      <c r="F54" s="105">
        <f>$F$17</f>
        <v>140.59336001883685</v>
      </c>
    </row>
    <row r="55" spans="2:9" x14ac:dyDescent="0.25">
      <c r="B55" s="10" t="str">
        <f t="shared" si="0"/>
        <v>B</v>
      </c>
      <c r="C55" s="183" t="str">
        <f>IF(LEN(B55)=0,"",CONCATENATE(B55,COUNTIF($B$5:B55,B55)))</f>
        <v>B7</v>
      </c>
      <c r="D55" s="106" t="s">
        <v>89</v>
      </c>
      <c r="E55" s="107" t="str">
        <f>$C$18</f>
        <v>A13</v>
      </c>
      <c r="F55" s="108">
        <f>$F$20</f>
        <v>90.964210030609848</v>
      </c>
    </row>
    <row r="56" spans="2:9" ht="30" x14ac:dyDescent="0.25">
      <c r="B56" s="10" t="str">
        <f t="shared" si="0"/>
        <v>B</v>
      </c>
      <c r="C56" s="188" t="str">
        <f>IF(LEN(B56)=0,"",CONCATENATE(B56,COUNTIF($B$5:B56,B56)))</f>
        <v>B8</v>
      </c>
      <c r="D56" s="113" t="s">
        <v>83</v>
      </c>
      <c r="E56" s="114" t="str">
        <f>CONCATENATE(C50,"+",C51,"+",C52,"+",C53,"+",C54,"+",C55)</f>
        <v>B2+B3+B4+B5+B6+B7</v>
      </c>
      <c r="F56" s="115">
        <f>SUM(F50:F55)</f>
        <v>4270.1924276815716</v>
      </c>
    </row>
    <row r="57" spans="2:9" ht="18" x14ac:dyDescent="0.25">
      <c r="C57" s="189" t="str">
        <f>IF(LEN(B57)=0,"",CONCATENATE(B57,COUNTIF($B$5:B57,B57)))</f>
        <v/>
      </c>
      <c r="D57" s="111" t="s">
        <v>58</v>
      </c>
      <c r="E57" s="99"/>
      <c r="F57" s="112" t="s">
        <v>57</v>
      </c>
    </row>
    <row r="58" spans="2:9" ht="28.5" x14ac:dyDescent="0.25">
      <c r="B58" s="10" t="str">
        <f>B56</f>
        <v>B</v>
      </c>
      <c r="C58" s="187" t="str">
        <f>IF(LEN(B58)=0,"",CONCATENATE(B58,COUNTIF($B$5:B58,B58)))</f>
        <v>B9</v>
      </c>
      <c r="D58" s="202" t="s">
        <v>47</v>
      </c>
      <c r="E58" s="100" t="str">
        <f>$C$6</f>
        <v>A1</v>
      </c>
      <c r="F58" s="231">
        <f>F6</f>
        <v>200</v>
      </c>
    </row>
    <row r="59" spans="2:9" x14ac:dyDescent="0.25">
      <c r="B59" s="10" t="str">
        <f t="shared" si="0"/>
        <v>B</v>
      </c>
      <c r="C59" s="121" t="str">
        <f>IF(LEN(B59)=0,"",CONCATENATE(B59,COUNTIF($B$5:B59,B59)))</f>
        <v>B10</v>
      </c>
      <c r="D59" s="203" t="s">
        <v>84</v>
      </c>
      <c r="E59" s="102" t="str">
        <f>CONCATENATE($C$10,"/220 x ",$C58)</f>
        <v>A5/220 x B9</v>
      </c>
      <c r="F59" s="103">
        <f>F$10/220*F58</f>
        <v>1987.9968747993235</v>
      </c>
    </row>
    <row r="60" spans="2:9" x14ac:dyDescent="0.25">
      <c r="B60" s="10" t="str">
        <f t="shared" si="0"/>
        <v>B</v>
      </c>
      <c r="C60" s="121" t="str">
        <f>IF(LEN(B60)=0,"",CONCATENATE(B60,COUNTIF($B$5:B60,B60)))</f>
        <v>B11</v>
      </c>
      <c r="D60" s="203" t="s">
        <v>85</v>
      </c>
      <c r="E60" s="102" t="str">
        <f>CONCATENATE($C$59," x ",$C$11)</f>
        <v>B10 x A6</v>
      </c>
      <c r="F60" s="103">
        <f>$F$59*$F$11</f>
        <v>596.39906243979704</v>
      </c>
    </row>
    <row r="61" spans="2:9" x14ac:dyDescent="0.25">
      <c r="B61" s="10" t="str">
        <f t="shared" si="0"/>
        <v>B</v>
      </c>
      <c r="C61" s="121" t="str">
        <f>IF(LEN(B61)=0,"",CONCATENATE(B61,COUNTIF($B$5:B61,B61)))</f>
        <v>B12</v>
      </c>
      <c r="D61" s="203" t="s">
        <v>86</v>
      </c>
      <c r="E61" s="102" t="str">
        <f>CONCATENATE("(",$C$50," + ",$C$51,") x ",$C$14)</f>
        <v>(B2 + B3) x A9</v>
      </c>
      <c r="F61" s="103">
        <f>SUM(F59:F60)*$F$14</f>
        <v>1805.9758809426974</v>
      </c>
    </row>
    <row r="62" spans="2:9" ht="28.5" x14ac:dyDescent="0.25">
      <c r="B62" s="10" t="str">
        <f t="shared" si="0"/>
        <v>B</v>
      </c>
      <c r="C62" s="121" t="str">
        <f>IF(LEN(B62)=0,"",CONCATENATE(B62,COUNTIF($B$5:B62,B62)))</f>
        <v>B13</v>
      </c>
      <c r="D62" s="203" t="s">
        <v>87</v>
      </c>
      <c r="E62" s="102" t="str">
        <f>CONCATENATE($C$41," x ",$C$15," x 4 - (",C59," x ",$C$16,")")</f>
        <v>A35 x A10 x 4 - (B10 x A11)</v>
      </c>
      <c r="F62" s="103">
        <f>$F$41*$F$15*4-(F59*$F$16)</f>
        <v>280.55218751204058</v>
      </c>
      <c r="G62" s="12">
        <f>F59*6%</f>
        <v>119.2798124879594</v>
      </c>
      <c r="H62" s="12"/>
      <c r="I62" s="12" t="e">
        <f>#REF!-G62</f>
        <v>#REF!</v>
      </c>
    </row>
    <row r="63" spans="2:9" x14ac:dyDescent="0.25">
      <c r="B63" s="10" t="str">
        <f t="shared" si="0"/>
        <v>B</v>
      </c>
      <c r="C63" s="121" t="str">
        <f>IF(LEN(B63)=0,"",CONCATENATE(B63,COUNTIF($B$5:B63,B63)))</f>
        <v>B14</v>
      </c>
      <c r="D63" s="203" t="s">
        <v>88</v>
      </c>
      <c r="E63" s="102" t="str">
        <f>$C$17</f>
        <v>A12</v>
      </c>
      <c r="F63" s="103">
        <f>$F$17</f>
        <v>140.59336001883685</v>
      </c>
    </row>
    <row r="64" spans="2:9" x14ac:dyDescent="0.25">
      <c r="B64" s="10" t="str">
        <f t="shared" si="0"/>
        <v>B</v>
      </c>
      <c r="C64" s="121" t="str">
        <f>IF(LEN(B64)=0,"",CONCATENATE(B64,COUNTIF($B$5:B64,B64)))</f>
        <v>B15</v>
      </c>
      <c r="D64" s="203" t="s">
        <v>89</v>
      </c>
      <c r="E64" s="102" t="str">
        <f>$C$18</f>
        <v>A13</v>
      </c>
      <c r="F64" s="103">
        <f>$F$18</f>
        <v>126.20673416529316</v>
      </c>
    </row>
    <row r="65" spans="2:10" x14ac:dyDescent="0.25">
      <c r="B65" s="10" t="str">
        <f t="shared" si="0"/>
        <v>B</v>
      </c>
      <c r="C65" s="121" t="str">
        <f>IF(LEN(B65)=0,"",CONCATENATE(B65,COUNTIF($B$5:B65,B65)))</f>
        <v>B16</v>
      </c>
      <c r="D65" s="203" t="s">
        <v>90</v>
      </c>
      <c r="E65" s="102" t="str">
        <f>$C$19</f>
        <v>A14</v>
      </c>
      <c r="F65" s="103">
        <f>$F$19</f>
        <v>95.237814928184605</v>
      </c>
    </row>
    <row r="66" spans="2:10" ht="30" x14ac:dyDescent="0.25">
      <c r="B66" s="10" t="str">
        <f t="shared" si="0"/>
        <v>B</v>
      </c>
      <c r="C66" s="190" t="str">
        <f>IF(LEN(B66)=0,"",CONCATENATE(B66,COUNTIF($B$5:B66,B66)))</f>
        <v>B17</v>
      </c>
      <c r="D66" s="125" t="s">
        <v>83</v>
      </c>
      <c r="E66" s="126" t="str">
        <f>CONCATENATE(C59,"+",C60,"+",C61,"+",C62,"+",C63,"+",C64,"+",C65)</f>
        <v>B10+B11+B12+B13+B14+B15+B16</v>
      </c>
      <c r="F66" s="127">
        <f>SUM(F59:F65)</f>
        <v>5032.961914806172</v>
      </c>
    </row>
    <row r="67" spans="2:10" ht="18" x14ac:dyDescent="0.25">
      <c r="C67" s="191" t="str">
        <f>IF(LEN(B67)=0,"",CONCATENATE(B67,COUNTIF($B$5:B67,B67)))</f>
        <v/>
      </c>
      <c r="D67" s="109" t="s">
        <v>59</v>
      </c>
      <c r="E67" s="98"/>
      <c r="F67" s="110" t="s">
        <v>57</v>
      </c>
    </row>
    <row r="68" spans="2:10" ht="28.5" x14ac:dyDescent="0.25">
      <c r="B68" s="10" t="str">
        <f>B66</f>
        <v>B</v>
      </c>
      <c r="C68" s="121" t="str">
        <f>IF(LEN(B68)=0,"",CONCATENATE(B68,COUNTIF($B$5:B68,B68)))</f>
        <v>B18</v>
      </c>
      <c r="D68" s="85" t="s">
        <v>47</v>
      </c>
      <c r="E68" s="116" t="str">
        <f>$C$7</f>
        <v>A2</v>
      </c>
      <c r="F68" s="117">
        <f>$F$7</f>
        <v>20</v>
      </c>
      <c r="G68" s="10">
        <v>44</v>
      </c>
    </row>
    <row r="69" spans="2:10" x14ac:dyDescent="0.25">
      <c r="B69" s="10" t="str">
        <f t="shared" si="0"/>
        <v>B</v>
      </c>
      <c r="C69" s="121" t="str">
        <f>IF(LEN(B69)=0,"",CONCATENATE(B69,COUNTIF($B$5:B69,B69)))</f>
        <v>B19</v>
      </c>
      <c r="D69" s="85" t="s">
        <v>84</v>
      </c>
      <c r="E69" s="116" t="str">
        <f>CONCATENATE($C$9,"/220 x ",$C68)</f>
        <v>A4/220 x B18</v>
      </c>
      <c r="F69" s="118">
        <f>$F$9/220*F68</f>
        <v>251.53905430571314</v>
      </c>
      <c r="G69" s="10">
        <v>5</v>
      </c>
    </row>
    <row r="70" spans="2:10" x14ac:dyDescent="0.25">
      <c r="B70" s="10" t="str">
        <f t="shared" si="0"/>
        <v>B</v>
      </c>
      <c r="C70" s="121" t="str">
        <f>IF(LEN(B70)=0,"",CONCATENATE(B70,COUNTIF($B$5:B70,B70)))</f>
        <v>B20</v>
      </c>
      <c r="D70" s="85" t="s">
        <v>85</v>
      </c>
      <c r="E70" s="116" t="str">
        <f>CONCATENATE($C$50," x ",$C$13)</f>
        <v>B2 x A8</v>
      </c>
      <c r="F70" s="118">
        <f>$F$69*$F$12</f>
        <v>0</v>
      </c>
    </row>
    <row r="71" spans="2:10" x14ac:dyDescent="0.25">
      <c r="B71" s="10" t="str">
        <f t="shared" si="0"/>
        <v>B</v>
      </c>
      <c r="C71" s="121" t="str">
        <f>IF(LEN(B71)=0,"",CONCATENATE(B71,COUNTIF($B$5:B71,B71)))</f>
        <v>B21</v>
      </c>
      <c r="D71" s="85" t="s">
        <v>86</v>
      </c>
      <c r="E71" s="116" t="str">
        <f>CONCATENATE("(",$C$50," + ",$C$51,") x ",$C$14)</f>
        <v>(B2 + B3) x A9</v>
      </c>
      <c r="F71" s="118">
        <f>SUM(F69:F70)*$F$14</f>
        <v>175.77549114883234</v>
      </c>
    </row>
    <row r="72" spans="2:10" ht="23.25" customHeight="1" x14ac:dyDescent="0.25">
      <c r="B72" s="10" t="str">
        <f t="shared" si="0"/>
        <v>B</v>
      </c>
      <c r="C72" s="121" t="str">
        <f>IF(LEN(B72)=0,"",CONCATENATE(B72,COUNTIF($B$5:B72,B72)))</f>
        <v>B22</v>
      </c>
      <c r="D72" s="85" t="s">
        <v>87</v>
      </c>
      <c r="E72" s="119" t="str">
        <f>CONCATENATE($C$42," x ",$C$15," x 4 - (",C69," x ",$C$16,")")</f>
        <v>A36 x A10 x 4 - (B19 x A11)</v>
      </c>
      <c r="F72" s="120">
        <f>$F$42*$F$15*4-(F69*$F$16)</f>
        <v>30.907656741657213</v>
      </c>
      <c r="G72" s="12"/>
      <c r="H72" s="12"/>
      <c r="I72" s="14"/>
    </row>
    <row r="73" spans="2:10" x14ac:dyDescent="0.25">
      <c r="B73" s="10" t="str">
        <f t="shared" ref="B73:B108" si="4">B72</f>
        <v>B</v>
      </c>
      <c r="C73" s="121" t="str">
        <f>IF(LEN(B73)=0,"",CONCATENATE(B73,COUNTIF($B$5:B73,B73)))</f>
        <v>B23</v>
      </c>
      <c r="D73" s="85" t="s">
        <v>88</v>
      </c>
      <c r="E73" s="119" t="str">
        <f>$C$17</f>
        <v>A12</v>
      </c>
      <c r="F73" s="120">
        <f>$F$17</f>
        <v>140.59336001883685</v>
      </c>
    </row>
    <row r="74" spans="2:10" x14ac:dyDescent="0.25">
      <c r="B74" s="10" t="str">
        <f t="shared" si="4"/>
        <v>B</v>
      </c>
      <c r="C74" s="121" t="str">
        <f>IF(LEN(B74)=0,"",CONCATENATE(B74,COUNTIF($B$5:B74,B74)))</f>
        <v>B24</v>
      </c>
      <c r="D74" s="85" t="s">
        <v>89</v>
      </c>
      <c r="E74" s="116" t="str">
        <f>$C$18</f>
        <v>A13</v>
      </c>
      <c r="F74" s="118">
        <f>$F$18</f>
        <v>126.20673416529316</v>
      </c>
    </row>
    <row r="75" spans="2:10" x14ac:dyDescent="0.25">
      <c r="B75" s="10" t="str">
        <f t="shared" si="4"/>
        <v>B</v>
      </c>
      <c r="C75" s="121" t="str">
        <f>IF(LEN(B75)=0,"",CONCATENATE(B75,COUNTIF($B$5:B75,B75)))</f>
        <v>B25</v>
      </c>
      <c r="D75" s="85" t="s">
        <v>90</v>
      </c>
      <c r="E75" s="116" t="str">
        <f>$C$19</f>
        <v>A14</v>
      </c>
      <c r="F75" s="118">
        <f>$F$19</f>
        <v>95.237814928184605</v>
      </c>
    </row>
    <row r="76" spans="2:10" ht="30" x14ac:dyDescent="0.25">
      <c r="B76" s="10" t="str">
        <f t="shared" si="4"/>
        <v>B</v>
      </c>
      <c r="C76" s="190" t="str">
        <f>IF(LEN(B76)=0,"",CONCATENATE(B76,COUNTIF($B$5:B76,B76)))</f>
        <v>B26</v>
      </c>
      <c r="D76" s="125" t="s">
        <v>83</v>
      </c>
      <c r="E76" s="126" t="str">
        <f>CONCATENATE(C69,"+",C70,"+",C71,"+",C72,"+",C73,"+",C74,"+",C75)</f>
        <v>B19+B20+B21+B22+B23+B24+B25</v>
      </c>
      <c r="F76" s="127">
        <f>SUM(F69:F75)</f>
        <v>820.26011130851725</v>
      </c>
    </row>
    <row r="77" spans="2:10" x14ac:dyDescent="0.25">
      <c r="B77" s="10" t="str">
        <f t="shared" si="4"/>
        <v>B</v>
      </c>
      <c r="C77" s="179" t="str">
        <f>IF(LEN(B77)=0,"",CONCATENATE(B77,COUNTIF($B$5:B77,B77)))</f>
        <v>B27</v>
      </c>
      <c r="D77" s="179" t="s">
        <v>17</v>
      </c>
      <c r="E77" s="178" t="str">
        <f>C21</f>
        <v>A16</v>
      </c>
      <c r="F77" s="180">
        <f>F21</f>
        <v>707.5</v>
      </c>
    </row>
    <row r="78" spans="2:10" ht="29.25" customHeight="1" thickBot="1" x14ac:dyDescent="0.3">
      <c r="B78" s="10" t="str">
        <f t="shared" si="4"/>
        <v>B</v>
      </c>
      <c r="C78" s="192" t="str">
        <f>IF(LEN(B78)=0,"",CONCATENATE(B78,COUNTIF($B$5:B78,B78)))</f>
        <v>B28</v>
      </c>
      <c r="D78" s="128" t="s">
        <v>82</v>
      </c>
      <c r="E78" s="129" t="str">
        <f>CONCATENATE(C56,"+",C66,"+",C76," + ",C77)</f>
        <v>B8+B17+B26 + B27</v>
      </c>
      <c r="F78" s="130">
        <f>F56+F66+F76+F77</f>
        <v>10830.91445379626</v>
      </c>
      <c r="G78" s="19">
        <v>9614.2472951333748</v>
      </c>
      <c r="H78" s="19"/>
      <c r="I78" s="20">
        <f>F78/G78-1</f>
        <v>0.12654835280539833</v>
      </c>
      <c r="J78" s="12">
        <f>F78-G78</f>
        <v>1216.6671586628854</v>
      </c>
    </row>
    <row r="79" spans="2:10" ht="4.5" customHeight="1" thickBot="1" x14ac:dyDescent="0.3">
      <c r="C79" s="18" t="str">
        <f>IF(LEN(B79)=0,"",CONCATENATE(B79,COUNTIF($B$5:B79,B79)))</f>
        <v/>
      </c>
    </row>
    <row r="80" spans="2:10" ht="18" x14ac:dyDescent="0.25">
      <c r="C80" s="193" t="str">
        <f>IF(LEN(B80)=0,"",CONCATENATE(B80,COUNTIF($B$5:B80,B80)))</f>
        <v/>
      </c>
      <c r="D80" s="148" t="s">
        <v>62</v>
      </c>
      <c r="E80" s="149"/>
      <c r="F80" s="150" t="s">
        <v>19</v>
      </c>
    </row>
    <row r="81" spans="2:8" ht="18" x14ac:dyDescent="0.25">
      <c r="C81" s="194" t="str">
        <f>IF(LEN(B81)=0,"",CONCATENATE(B81,COUNTIF($B$5:B81,B81)))</f>
        <v/>
      </c>
      <c r="D81" s="145" t="s">
        <v>63</v>
      </c>
      <c r="E81" s="146"/>
      <c r="F81" s="147"/>
    </row>
    <row r="82" spans="2:8" x14ac:dyDescent="0.25">
      <c r="B82" s="10" t="s">
        <v>72</v>
      </c>
      <c r="C82" s="195" t="str">
        <f>IF(LEN(B82)=0,"",CONCATENATE(B82,COUNTIF($B$5:B82,B82)))</f>
        <v>C1</v>
      </c>
      <c r="D82" s="154" t="s">
        <v>91</v>
      </c>
      <c r="E82" s="152" t="str">
        <f>CONCATENATE(C22," + ",C23)</f>
        <v>A17 + A18</v>
      </c>
      <c r="F82" s="153">
        <f>F22+F23</f>
        <v>437684.72000000003</v>
      </c>
    </row>
    <row r="83" spans="2:8" x14ac:dyDescent="0.25">
      <c r="B83" s="10" t="str">
        <f t="shared" si="4"/>
        <v>C</v>
      </c>
      <c r="C83" s="195" t="str">
        <f>IF(LEN(B83)=0,"",CONCATENATE(B83,COUNTIF($B$5:B83,B83)))</f>
        <v>C2</v>
      </c>
      <c r="D83" s="154" t="s">
        <v>92</v>
      </c>
      <c r="E83" s="152" t="str">
        <f>CONCATENATE(C82," - ",C36," x 6")</f>
        <v>C1 - A30 x 6</v>
      </c>
      <c r="F83" s="153">
        <f>F82-F36*6</f>
        <v>431793.50000000006</v>
      </c>
    </row>
    <row r="84" spans="2:8" x14ac:dyDescent="0.25">
      <c r="B84" s="10" t="str">
        <f t="shared" si="4"/>
        <v>C</v>
      </c>
      <c r="C84" s="195" t="str">
        <f>IF(LEN(B84)=0,"",CONCATENATE(B84,COUNTIF($B$5:B84,B84)))</f>
        <v>C3</v>
      </c>
      <c r="D84" s="154" t="s">
        <v>64</v>
      </c>
      <c r="E84" s="152" t="str">
        <f>CONCATENATE($C$83," x (1 - ",C24,") / (",C25," x 12)")</f>
        <v>C2 x (1 - A19) / (A20 x 12)</v>
      </c>
      <c r="F84" s="153">
        <f>$F$83*(1-F24)/(F25*12)</f>
        <v>2878.6233333333339</v>
      </c>
      <c r="G84" s="12"/>
      <c r="H84" s="12"/>
    </row>
    <row r="85" spans="2:8" x14ac:dyDescent="0.25">
      <c r="B85" s="10" t="str">
        <f t="shared" si="4"/>
        <v>C</v>
      </c>
      <c r="C85" s="195" t="str">
        <f>IF(LEN(B85)=0,"",CONCATENATE(B85,COUNTIF($B$5:B85,B85)))</f>
        <v>C4</v>
      </c>
      <c r="D85" s="154" t="s">
        <v>65</v>
      </c>
      <c r="E85" s="152" t="str">
        <f>CONCATENATE($C$83," x (1 - ",C24,") x ",C26," / 12")</f>
        <v>C2 x (1 - A19) x A21 / 12</v>
      </c>
      <c r="F85" s="153">
        <f>$F$83*(1-$F$24)*$F$26/12</f>
        <v>1799.1395833333336</v>
      </c>
      <c r="G85" s="12"/>
    </row>
    <row r="86" spans="2:8" x14ac:dyDescent="0.25">
      <c r="B86" s="10" t="str">
        <f t="shared" si="4"/>
        <v>C</v>
      </c>
      <c r="C86" s="195" t="str">
        <f>IF(LEN(B86)=0,"",CONCATENATE(B86,COUNTIF($B$5:B86,B86)))</f>
        <v>C5</v>
      </c>
      <c r="D86" s="154" t="s">
        <v>66</v>
      </c>
      <c r="E86" s="152" t="str">
        <f>CONCATENATE($C$83," x ",C27," / 12")</f>
        <v>C2 x A22 / 12</v>
      </c>
      <c r="F86" s="153">
        <f>$F$83*F27/12</f>
        <v>2158.9675000000002</v>
      </c>
      <c r="G86" s="12"/>
    </row>
    <row r="87" spans="2:8" x14ac:dyDescent="0.25">
      <c r="B87" s="10" t="str">
        <f t="shared" si="4"/>
        <v>C</v>
      </c>
      <c r="C87" s="195" t="str">
        <f>IF(LEN(B87)=0,"",CONCATENATE(B87,COUNTIF($B$5:B87,B87)))</f>
        <v>C6</v>
      </c>
      <c r="D87" s="154" t="s">
        <v>93</v>
      </c>
      <c r="E87" s="152" t="str">
        <f>CONCATENATE(C28," x ",C82," / 12")</f>
        <v>A23 x C1 / 12</v>
      </c>
      <c r="F87" s="153">
        <f>F28*F82/12</f>
        <v>364.7372666666667</v>
      </c>
    </row>
    <row r="88" spans="2:8" x14ac:dyDescent="0.25">
      <c r="B88" s="10" t="str">
        <f t="shared" si="4"/>
        <v>C</v>
      </c>
      <c r="C88" s="195" t="str">
        <f>IF(LEN(B88)=0,"",CONCATENATE(B88,COUNTIF($B$5:B88,B88)))</f>
        <v>C7</v>
      </c>
      <c r="D88" s="154" t="s">
        <v>94</v>
      </c>
      <c r="E88" s="152" t="str">
        <f>CONCATENATE(C29," / 12")</f>
        <v>A24 / 12</v>
      </c>
      <c r="F88" s="153">
        <f>F29/12</f>
        <v>0</v>
      </c>
    </row>
    <row r="89" spans="2:8" ht="28.5" x14ac:dyDescent="0.25">
      <c r="B89" s="10" t="str">
        <f t="shared" si="4"/>
        <v>C</v>
      </c>
      <c r="C89" s="195" t="str">
        <f>IF(LEN(B89)=0,"",CONCATENATE(B89,COUNTIF($B$5:B89,B89)))</f>
        <v>C8</v>
      </c>
      <c r="D89" s="154" t="s">
        <v>95</v>
      </c>
      <c r="E89" s="152" t="str">
        <f>CONCATENATE(C30," / 12")</f>
        <v>A25 / 12</v>
      </c>
      <c r="F89" s="153">
        <f>F30/12</f>
        <v>5.5583333333333336</v>
      </c>
    </row>
    <row r="90" spans="2:8" x14ac:dyDescent="0.25">
      <c r="B90" s="10" t="str">
        <f t="shared" si="4"/>
        <v>C</v>
      </c>
      <c r="C90" s="196" t="str">
        <f>IF(LEN(B90)=0,"",CONCATENATE(B90,COUNTIF($B$5:B90,B90)))</f>
        <v>C9</v>
      </c>
      <c r="D90" s="142" t="s">
        <v>81</v>
      </c>
      <c r="E90" s="143" t="str">
        <f>CONCATENATE(C84,"+",C85,"+",C86,"+",C87,"+",C88,"+",C89)</f>
        <v>C3+C4+C5+C6+C7+C8</v>
      </c>
      <c r="F90" s="144">
        <f>SUM(F84:F89)</f>
        <v>7207.0260166666676</v>
      </c>
    </row>
    <row r="91" spans="2:8" ht="18" x14ac:dyDescent="0.25">
      <c r="C91" s="197" t="str">
        <f>IF(LEN(B91)=0,"",CONCATENATE(B91,COUNTIF($B$5:B91,B91)))</f>
        <v/>
      </c>
      <c r="D91" s="145" t="s">
        <v>67</v>
      </c>
      <c r="E91" s="146"/>
      <c r="F91" s="147"/>
    </row>
    <row r="92" spans="2:8" ht="27.75" customHeight="1" x14ac:dyDescent="0.25">
      <c r="B92" s="10" t="str">
        <f>B90</f>
        <v>C</v>
      </c>
      <c r="C92" s="195" t="str">
        <f>IF(LEN(B92)=0,"",CONCATENATE(B92,COUNTIF($B$5:B92,B92)))</f>
        <v>C10</v>
      </c>
      <c r="D92" s="154" t="s">
        <v>101</v>
      </c>
      <c r="E92" s="152" t="str">
        <f>CONCATENATE($C$41," x ",C31)</f>
        <v>A35 x A26</v>
      </c>
      <c r="F92" s="216">
        <f>$F$41*$F$31</f>
        <v>159.06360000000001</v>
      </c>
      <c r="G92" s="10">
        <f>$F$41*G31</f>
        <v>152.11000000000001</v>
      </c>
    </row>
    <row r="93" spans="2:8" x14ac:dyDescent="0.25">
      <c r="B93" s="10" t="str">
        <f t="shared" si="4"/>
        <v>C</v>
      </c>
      <c r="C93" s="195" t="str">
        <f>IF(LEN(B93)=0,"",CONCATENATE(B93,COUNTIF($B$5:B93,B93)))</f>
        <v>C11</v>
      </c>
      <c r="D93" s="151" t="s">
        <v>68</v>
      </c>
      <c r="E93" s="152" t="str">
        <f>CONCATENATE(C92," x ",C34," x ",C32)</f>
        <v>C10 x A28 x A27</v>
      </c>
      <c r="F93" s="153">
        <f>F92*F34*F32</f>
        <v>337.16711292000008</v>
      </c>
      <c r="G93" s="67">
        <f>G92*F34*F32</f>
        <v>322.42756700000007</v>
      </c>
    </row>
    <row r="94" spans="2:8" x14ac:dyDescent="0.25">
      <c r="B94" s="10" t="str">
        <f t="shared" si="4"/>
        <v>C</v>
      </c>
      <c r="C94" s="195" t="str">
        <f>IF(LEN(B94)=0,"",CONCATENATE(B94,COUNTIF($B$5:B94,B94)))</f>
        <v>C12</v>
      </c>
      <c r="D94" s="151" t="s">
        <v>69</v>
      </c>
      <c r="E94" s="152" t="str">
        <f>CONCATENATE("(",C36,"+",C38,"x",C37,") x 6 x (",C92,"/",C39,")")</f>
        <v>(A30+A32xA31) x 6 x (C10/A33)</v>
      </c>
      <c r="F94" s="153">
        <f>(F36+F38*F37)*6*F92/F39</f>
        <v>22.04890968451765</v>
      </c>
      <c r="G94" s="12">
        <f>(F36+F38*F37)*6*G92/F39</f>
        <v>21.085022922352945</v>
      </c>
    </row>
    <row r="95" spans="2:8" x14ac:dyDescent="0.25">
      <c r="B95" s="10" t="str">
        <f t="shared" si="4"/>
        <v>C</v>
      </c>
      <c r="C95" s="195" t="str">
        <f>IF(LEN(B95)=0,"",CONCATENATE(B95,COUNTIF($B$5:B95,B95)))</f>
        <v>C13</v>
      </c>
      <c r="D95" s="151" t="s">
        <v>76</v>
      </c>
      <c r="E95" s="152" t="str">
        <f>CONCATENATE(C92," x ",C35," x ",C32)</f>
        <v>C10 x A29 x A27</v>
      </c>
      <c r="F95" s="153">
        <f>F92*F35*F32</f>
        <v>21.792508518000005</v>
      </c>
      <c r="G95" s="12">
        <f>G92*F35*F32</f>
        <v>20.839830550000006</v>
      </c>
      <c r="H95" s="12"/>
    </row>
    <row r="96" spans="2:8" x14ac:dyDescent="0.25">
      <c r="B96" s="10" t="str">
        <f t="shared" ref="B96" si="5">B95</f>
        <v>C</v>
      </c>
      <c r="C96" s="195" t="str">
        <f>IF(LEN(B96)=0,"",CONCATENATE(B96,COUNTIF($B$5:B96,B96)))</f>
        <v>C14</v>
      </c>
      <c r="D96" s="139" t="s">
        <v>80</v>
      </c>
      <c r="E96" s="140" t="str">
        <f>CONCATENATE(C93,"+",C94,"+",C95)</f>
        <v>C11+C12+C13</v>
      </c>
      <c r="F96" s="141">
        <f>SUM(F93:F95)</f>
        <v>381.00853112251775</v>
      </c>
      <c r="G96" s="12">
        <f>SUM(G93:G95)</f>
        <v>364.352420472353</v>
      </c>
    </row>
    <row r="97" spans="2:10" ht="30" customHeight="1" thickBot="1" x14ac:dyDescent="0.3">
      <c r="B97" s="10" t="str">
        <f>B95</f>
        <v>C</v>
      </c>
      <c r="C97" s="198" t="str">
        <f>IF(LEN(B97)=0,"",CONCATENATE(B97,COUNTIF($B$5:B97,B97)))</f>
        <v>C15</v>
      </c>
      <c r="D97" s="204" t="s">
        <v>79</v>
      </c>
      <c r="E97" s="137" t="str">
        <f>CONCATENATE(C90," + ",C96)</f>
        <v>C9 + C14</v>
      </c>
      <c r="F97" s="138">
        <f>F96+F90</f>
        <v>7588.0345477891851</v>
      </c>
      <c r="G97" s="12">
        <f>G96+F90</f>
        <v>7571.3784371390202</v>
      </c>
    </row>
    <row r="98" spans="2:10" ht="15.75" thickBot="1" x14ac:dyDescent="0.3">
      <c r="C98" s="18" t="str">
        <f>IF(LEN(B98)=0,"",CONCATENATE(B98,COUNTIF($B$5:B98,B98)))</f>
        <v/>
      </c>
    </row>
    <row r="99" spans="2:10" ht="18" x14ac:dyDescent="0.25">
      <c r="C99" s="199" t="str">
        <f>IF(LEN(B99)=0,"",CONCATENATE(B99,COUNTIF($B$5:B99,B99)))</f>
        <v/>
      </c>
      <c r="D99" s="134" t="s">
        <v>11</v>
      </c>
      <c r="E99" s="135"/>
      <c r="F99" s="136" t="s">
        <v>19</v>
      </c>
    </row>
    <row r="100" spans="2:10" x14ac:dyDescent="0.25">
      <c r="B100" s="10" t="s">
        <v>73</v>
      </c>
      <c r="C100" s="195" t="str">
        <f>IF(LEN(B100)=0,"",CONCATENATE(B100,COUNTIF($B$5:B100,B100)))</f>
        <v>D1</v>
      </c>
      <c r="D100" s="151" t="s">
        <v>139</v>
      </c>
      <c r="E100" s="152" t="str">
        <f>CONCATENATE(C78," + ",C97)</f>
        <v>B28 + C15</v>
      </c>
      <c r="F100" s="158">
        <f>(F97+F78)</f>
        <v>18418.949001585446</v>
      </c>
    </row>
    <row r="101" spans="2:10" x14ac:dyDescent="0.25">
      <c r="B101" s="10" t="s">
        <v>73</v>
      </c>
      <c r="C101" s="195" t="str">
        <f>IF(LEN(B101)=0,"",CONCATENATE(B101,COUNTIF($B$5:B101,B101)))</f>
        <v>D2</v>
      </c>
      <c r="D101" s="151" t="s">
        <v>140</v>
      </c>
      <c r="E101" s="152" t="str">
        <f>C40</f>
        <v>A34</v>
      </c>
      <c r="F101" s="159">
        <f>F40</f>
        <v>0.18609999999999999</v>
      </c>
    </row>
    <row r="102" spans="2:10" ht="15.75" thickBot="1" x14ac:dyDescent="0.3">
      <c r="B102" s="10" t="s">
        <v>73</v>
      </c>
      <c r="C102" s="200" t="str">
        <f>IF(LEN(B102)=0,"",CONCATENATE(B102,COUNTIF($B$5:B102,B102)))</f>
        <v>D3</v>
      </c>
      <c r="D102" s="155" t="s">
        <v>78</v>
      </c>
      <c r="E102" s="156" t="str">
        <f>CONCATENATE(C100," x ",C101)</f>
        <v>D1 x D2</v>
      </c>
      <c r="F102" s="157">
        <f>F100*F101</f>
        <v>3427.7664091950514</v>
      </c>
    </row>
    <row r="103" spans="2:10" ht="15.75" thickBot="1" x14ac:dyDescent="0.3">
      <c r="C103" s="18" t="str">
        <f>IF(LEN(B103)=0,"",CONCATENATE(B103,COUNTIF($B$5:B103,B103)))</f>
        <v/>
      </c>
      <c r="F103" s="17"/>
    </row>
    <row r="104" spans="2:10" ht="18" x14ac:dyDescent="0.25">
      <c r="C104" s="201" t="str">
        <f>IF(LEN(B104)=0,"",CONCATENATE(B104,COUNTIF($B$5:B104,B104)))</f>
        <v/>
      </c>
      <c r="D104" s="160" t="s">
        <v>48</v>
      </c>
      <c r="E104" s="161"/>
      <c r="F104" s="162"/>
    </row>
    <row r="105" spans="2:10" ht="28.5" x14ac:dyDescent="0.25">
      <c r="B105" s="10" t="s">
        <v>74</v>
      </c>
      <c r="C105" s="195" t="str">
        <f>IF(LEN(B105)=0,"",CONCATENATE(B105,COUNTIF($B$5:B105,B105)))</f>
        <v>F1</v>
      </c>
      <c r="D105" s="154" t="str">
        <f>D47</f>
        <v>Despesas de Pessoal e Equipamentos de Proteção</v>
      </c>
      <c r="E105" s="152" t="str">
        <f>C78</f>
        <v>B28</v>
      </c>
      <c r="F105" s="153">
        <f>F78</f>
        <v>10830.91445379626</v>
      </c>
      <c r="G105" s="65">
        <f>F105/$F$108</f>
        <v>0.49576855147990023</v>
      </c>
      <c r="H105" s="15"/>
    </row>
    <row r="106" spans="2:10" x14ac:dyDescent="0.25">
      <c r="B106" s="10" t="str">
        <f t="shared" si="4"/>
        <v>F</v>
      </c>
      <c r="C106" s="195" t="str">
        <f>IF(LEN(B106)=0,"",CONCATENATE(B106,COUNTIF($B$5:B106,B106)))</f>
        <v>F2</v>
      </c>
      <c r="D106" s="151" t="str">
        <f>D80</f>
        <v>Composição da Frota</v>
      </c>
      <c r="E106" s="152" t="str">
        <f>C97</f>
        <v>C15</v>
      </c>
      <c r="F106" s="153">
        <f>F97</f>
        <v>7588.0345477891851</v>
      </c>
      <c r="G106" s="65">
        <f>F106/$F$108</f>
        <v>0.34733068129979794</v>
      </c>
      <c r="H106" s="15"/>
    </row>
    <row r="107" spans="2:10" x14ac:dyDescent="0.25">
      <c r="B107" s="10" t="str">
        <f t="shared" si="4"/>
        <v>F</v>
      </c>
      <c r="C107" s="195" t="str">
        <f>IF(LEN(B107)=0,"",CONCATENATE(B107,COUNTIF($B$5:B107,B107)))</f>
        <v>F3</v>
      </c>
      <c r="D107" s="151" t="str">
        <f>D99</f>
        <v>BDI</v>
      </c>
      <c r="E107" s="152" t="str">
        <f>C102</f>
        <v>D3</v>
      </c>
      <c r="F107" s="153">
        <f>F102</f>
        <v>3427.7664091950514</v>
      </c>
      <c r="G107" s="65">
        <f>F107/$F$108</f>
        <v>0.15690076722030183</v>
      </c>
      <c r="H107" s="15"/>
    </row>
    <row r="108" spans="2:10" x14ac:dyDescent="0.25">
      <c r="B108" s="10" t="str">
        <f t="shared" si="4"/>
        <v>F</v>
      </c>
      <c r="C108" s="195" t="str">
        <f>IF(LEN(B108)=0,"",CONCATENATE(B108,COUNTIF($B$5:B108,B108)))</f>
        <v>F4</v>
      </c>
      <c r="D108" s="139" t="s">
        <v>77</v>
      </c>
      <c r="E108" s="165" t="str">
        <f>CONCATENATE(C105," + ",C106," + ",C107)</f>
        <v>F1 + F2 + F3</v>
      </c>
      <c r="F108" s="166">
        <f>SUM(F105:F107)</f>
        <v>21846.715410780496</v>
      </c>
      <c r="I108" s="20"/>
      <c r="J108" s="12"/>
    </row>
    <row r="109" spans="2:10" ht="30" x14ac:dyDescent="0.25">
      <c r="B109" s="10" t="str">
        <f t="shared" ref="B109" si="6">B108</f>
        <v>F</v>
      </c>
      <c r="C109" s="195" t="str">
        <f>IF(LEN(B109)=0,"",CONCATENATE(B109,COUNTIF($B$5:B109,B109)))</f>
        <v>F5</v>
      </c>
      <c r="D109" s="167" t="s">
        <v>96</v>
      </c>
      <c r="E109" s="165" t="str">
        <f>CONCATENATE("(8 x 60 x ",$C$41,") / ",$C$43)</f>
        <v>(8 x 60 x A35) / A37</v>
      </c>
      <c r="F109" s="168">
        <f>(8*60*$F$41)/$F$43</f>
        <v>165.77240940877303</v>
      </c>
    </row>
    <row r="110" spans="2:10" ht="15.75" thickBot="1" x14ac:dyDescent="0.3">
      <c r="B110" s="10" t="str">
        <f>B108</f>
        <v>F</v>
      </c>
      <c r="C110" s="200" t="str">
        <f>IF(LEN(B110)=0,"",CONCATENATE(B110,COUNTIF($B$5:B110,B110)))</f>
        <v>F6</v>
      </c>
      <c r="D110" s="163" t="s">
        <v>110</v>
      </c>
      <c r="E110" s="164" t="str">
        <f>CONCATENATE(C108," / ",C109)</f>
        <v>F4 / F5</v>
      </c>
      <c r="F110" s="157">
        <f>F108/(F109)</f>
        <v>131.78740351724852</v>
      </c>
      <c r="G110" s="10">
        <v>36.82</v>
      </c>
      <c r="I110" s="20">
        <f>F110/G110-1</f>
        <v>2.5792342074211985</v>
      </c>
      <c r="J110" s="12">
        <f>F110-G110</f>
        <v>94.967403517248528</v>
      </c>
    </row>
    <row r="111" spans="2:10" ht="15.75" thickBot="1" x14ac:dyDescent="0.3">
      <c r="B111" s="10" t="str">
        <f>B109</f>
        <v>F</v>
      </c>
      <c r="C111" s="200" t="str">
        <f>IF(LEN(B111)=0,"",CONCATENATE(B111,COUNTIF($B$5:B111,B111)))</f>
        <v>F7</v>
      </c>
      <c r="D111" s="163" t="s">
        <v>153</v>
      </c>
      <c r="E111" s="164" t="str">
        <f>CONCATENATE(C110," x ",C44)</f>
        <v>F6 x A38</v>
      </c>
      <c r="F111" s="157">
        <f>F110*F44</f>
        <v>1054299.2281379881</v>
      </c>
      <c r="I111" s="20"/>
      <c r="J111" s="12"/>
    </row>
    <row r="112" spans="2:10" x14ac:dyDescent="0.25">
      <c r="C112" s="18" t="str">
        <f>IF(LEN(B112)=0,"",CONCATENATE(B112,COUNTIF($B$5:B112,B112)))</f>
        <v/>
      </c>
    </row>
    <row r="113" spans="3:17" x14ac:dyDescent="0.25">
      <c r="C113" s="18" t="str">
        <f>IF(LEN(B113)=0,"",CONCATENATE(B113,COUNTIF($B$5:B113,B113)))</f>
        <v/>
      </c>
      <c r="D113" s="169" t="s">
        <v>49</v>
      </c>
      <c r="E113" s="244" t="s">
        <v>189</v>
      </c>
      <c r="F113" s="244"/>
    </row>
    <row r="114" spans="3:17" ht="51" customHeight="1" x14ac:dyDescent="0.25">
      <c r="C114" s="18" t="str">
        <f>IF(LEN(B114)=0,"",CONCATENATE(B114,COUNTIF($B$5:B114,B114)))</f>
        <v/>
      </c>
      <c r="D114" s="174" t="s">
        <v>145</v>
      </c>
      <c r="E114" s="174" t="s">
        <v>146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3:17" x14ac:dyDescent="0.25">
      <c r="C115" s="18" t="str">
        <f>IF(LEN(B115)=0,"",CONCATENATE(B115,COUNTIF($B$5:B115,B115)))</f>
        <v/>
      </c>
      <c r="D115" s="171" t="s">
        <v>175</v>
      </c>
      <c r="E115" s="171" t="s">
        <v>186</v>
      </c>
      <c r="F115" s="170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3:17" x14ac:dyDescent="0.25">
      <c r="C116" s="18" t="str">
        <f>IF(LEN(B116)=0,"",CONCATENATE(B116,COUNTIF($B$5:B116,B116)))</f>
        <v/>
      </c>
      <c r="D116" s="171" t="s">
        <v>176</v>
      </c>
      <c r="E116" s="171" t="s">
        <v>187</v>
      </c>
      <c r="F116" s="170"/>
    </row>
    <row r="117" spans="3:17" x14ac:dyDescent="0.25">
      <c r="D117" s="172"/>
      <c r="E117" s="173"/>
    </row>
  </sheetData>
  <mergeCells count="6">
    <mergeCell ref="D1:F1"/>
    <mergeCell ref="D2:F2"/>
    <mergeCell ref="D3:F3"/>
    <mergeCell ref="E113:F113"/>
    <mergeCell ref="S4:T4"/>
    <mergeCell ref="D45:F45"/>
  </mergeCells>
  <printOptions horizontalCentered="1"/>
  <pageMargins left="0.39370078740157483" right="0.39370078740157483" top="0.39370078740157483" bottom="0.59055118110236227" header="0.15748031496062992" footer="0.11811023622047245"/>
  <pageSetup paperSize="9" scale="79" fitToHeight="6" orientation="portrait" horizontalDpi="4294967294" verticalDpi="4294967294" r:id="rId1"/>
  <headerFooter>
    <oddFooter>&amp;R&amp;P</oddFooter>
  </headerFooter>
  <rowBreaks count="3" manualBreakCount="3">
    <brk id="32" max="16383" man="1"/>
    <brk id="46" max="16383" man="1"/>
    <brk id="97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2</xdr:col>
                <xdr:colOff>57150</xdr:colOff>
                <xdr:row>0</xdr:row>
                <xdr:rowOff>19050</xdr:rowOff>
              </from>
              <to>
                <xdr:col>3</xdr:col>
                <xdr:colOff>152400</xdr:colOff>
                <xdr:row>2</xdr:row>
                <xdr:rowOff>133350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13"/>
  <sheetViews>
    <sheetView view="pageBreakPreview" topLeftCell="A16" zoomScale="115" zoomScaleNormal="100" zoomScaleSheetLayoutView="115" workbookViewId="0"/>
  </sheetViews>
  <sheetFormatPr defaultRowHeight="15" x14ac:dyDescent="0.25"/>
  <cols>
    <col min="1" max="1" width="3.7109375" customWidth="1"/>
  </cols>
  <sheetData>
    <row r="1" spans="1:13" ht="24.75" customHeight="1" x14ac:dyDescent="0.35">
      <c r="B1" s="247" t="s">
        <v>40</v>
      </c>
      <c r="C1" s="247"/>
      <c r="D1" s="247"/>
      <c r="E1" s="247"/>
      <c r="F1" s="247"/>
      <c r="G1" s="247"/>
      <c r="H1" s="247"/>
      <c r="I1" s="247"/>
      <c r="J1" s="247"/>
      <c r="K1" s="4"/>
      <c r="L1" s="4"/>
      <c r="M1" s="4"/>
    </row>
    <row r="2" spans="1:13" ht="1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8" spans="1:13" x14ac:dyDescent="0.25">
      <c r="E8" t="s">
        <v>164</v>
      </c>
      <c r="F8">
        <v>3074.3053920414413</v>
      </c>
    </row>
    <row r="9" spans="1:13" x14ac:dyDescent="0.25">
      <c r="E9" t="s">
        <v>165</v>
      </c>
      <c r="F9">
        <v>947.65800000000002</v>
      </c>
    </row>
    <row r="10" spans="1:13" x14ac:dyDescent="0.25">
      <c r="E10" t="s">
        <v>166</v>
      </c>
      <c r="F10">
        <v>3532.8584905660373</v>
      </c>
    </row>
    <row r="14" spans="1:13" x14ac:dyDescent="0.25">
      <c r="E14" t="s">
        <v>167</v>
      </c>
      <c r="F14">
        <v>0.69879999999999998</v>
      </c>
    </row>
    <row r="17" spans="5:6" x14ac:dyDescent="0.25">
      <c r="E17" t="s">
        <v>168</v>
      </c>
      <c r="F17">
        <v>140.59</v>
      </c>
    </row>
    <row r="18" spans="5:6" x14ac:dyDescent="0.25">
      <c r="E18" t="s">
        <v>169</v>
      </c>
      <c r="F18">
        <v>126.21</v>
      </c>
    </row>
    <row r="19" spans="5:6" x14ac:dyDescent="0.25">
      <c r="E19" t="s">
        <v>170</v>
      </c>
      <c r="F19">
        <v>95.24</v>
      </c>
    </row>
    <row r="20" spans="5:6" x14ac:dyDescent="0.25">
      <c r="E20" t="s">
        <v>171</v>
      </c>
      <c r="F20">
        <v>90.96</v>
      </c>
    </row>
    <row r="23" spans="5:6" x14ac:dyDescent="0.25">
      <c r="E23" t="s">
        <v>172</v>
      </c>
      <c r="F23">
        <v>137427.14000000001</v>
      </c>
    </row>
    <row r="34" spans="2:11" x14ac:dyDescent="0.25">
      <c r="K34" s="21">
        <v>0.69879999999999998</v>
      </c>
    </row>
    <row r="35" spans="2:11" ht="25.5" customHeight="1" x14ac:dyDescent="0.25">
      <c r="B35" s="248" t="s">
        <v>174</v>
      </c>
      <c r="C35" s="248"/>
      <c r="D35" s="248"/>
      <c r="E35" s="248"/>
      <c r="F35" s="248"/>
      <c r="G35" s="248"/>
      <c r="H35" s="248"/>
      <c r="I35" s="248"/>
      <c r="J35" s="248"/>
    </row>
    <row r="42" spans="2:11" ht="26.25" customHeight="1" x14ac:dyDescent="0.25"/>
    <row r="113" spans="5:5" x14ac:dyDescent="0.25">
      <c r="E113" s="234">
        <f ca="1">TODAY()</f>
        <v>45146</v>
      </c>
    </row>
  </sheetData>
  <mergeCells count="2">
    <mergeCell ref="B1:J1"/>
    <mergeCell ref="B35:J35"/>
  </mergeCells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3"/>
  <sheetViews>
    <sheetView view="pageBreakPreview" zoomScale="115" zoomScaleNormal="100" zoomScaleSheetLayoutView="115" workbookViewId="0">
      <selection activeCell="A12" sqref="A12:F26"/>
    </sheetView>
  </sheetViews>
  <sheetFormatPr defaultRowHeight="15" x14ac:dyDescent="0.25"/>
  <cols>
    <col min="1" max="1" width="2.5703125" customWidth="1"/>
    <col min="7" max="7" width="11.140625" bestFit="1" customWidth="1"/>
    <col min="8" max="8" width="10.140625" customWidth="1"/>
    <col min="10" max="10" width="9.140625" customWidth="1"/>
    <col min="11" max="11" width="13.42578125" customWidth="1"/>
  </cols>
  <sheetData>
    <row r="1" spans="2:10" ht="27" customHeight="1" x14ac:dyDescent="0.25">
      <c r="B1" s="250" t="s">
        <v>178</v>
      </c>
      <c r="C1" s="251"/>
      <c r="D1" s="251"/>
      <c r="E1" s="251"/>
      <c r="F1" s="251"/>
      <c r="G1" s="251"/>
      <c r="H1" s="251"/>
      <c r="I1" s="251"/>
      <c r="J1" s="252"/>
    </row>
    <row r="2" spans="2:10" ht="25.5" x14ac:dyDescent="0.25">
      <c r="B2" s="256" t="s">
        <v>0</v>
      </c>
      <c r="C2" s="256"/>
      <c r="D2" s="256"/>
      <c r="E2" s="256"/>
      <c r="F2" s="6" t="s">
        <v>1</v>
      </c>
      <c r="G2" s="8" t="s">
        <v>16</v>
      </c>
      <c r="H2" s="7" t="s">
        <v>2</v>
      </c>
      <c r="I2" s="6" t="s">
        <v>3</v>
      </c>
      <c r="J2" s="6" t="s">
        <v>4</v>
      </c>
    </row>
    <row r="3" spans="2:10" x14ac:dyDescent="0.25">
      <c r="B3" s="257" t="s">
        <v>12</v>
      </c>
      <c r="C3" s="257"/>
      <c r="D3" s="257"/>
      <c r="E3" s="257"/>
      <c r="F3" s="210" t="s">
        <v>6</v>
      </c>
      <c r="G3" s="211">
        <f>10/12</f>
        <v>0.83333333333333337</v>
      </c>
      <c r="H3" s="212">
        <v>95</v>
      </c>
      <c r="I3" s="213">
        <f>H3*G3</f>
        <v>79.166666666666671</v>
      </c>
      <c r="J3" s="213">
        <f>H3*G3</f>
        <v>79.166666666666671</v>
      </c>
    </row>
    <row r="4" spans="2:10" x14ac:dyDescent="0.25">
      <c r="B4" s="257" t="s">
        <v>13</v>
      </c>
      <c r="C4" s="257"/>
      <c r="D4" s="257"/>
      <c r="E4" s="257"/>
      <c r="F4" s="210" t="s">
        <v>6</v>
      </c>
      <c r="G4" s="211">
        <f>1/12</f>
        <v>8.3333333333333329E-2</v>
      </c>
      <c r="H4" s="212">
        <v>1890</v>
      </c>
      <c r="I4" s="213">
        <f>H4*G4</f>
        <v>157.5</v>
      </c>
      <c r="J4" s="213">
        <f>H4*G4</f>
        <v>157.5</v>
      </c>
    </row>
    <row r="5" spans="2:10" x14ac:dyDescent="0.25">
      <c r="B5" s="257" t="s">
        <v>41</v>
      </c>
      <c r="C5" s="257"/>
      <c r="D5" s="257"/>
      <c r="E5" s="257"/>
      <c r="F5" s="210" t="s">
        <v>6</v>
      </c>
      <c r="G5" s="211">
        <f>1/12</f>
        <v>8.3333333333333329E-2</v>
      </c>
      <c r="H5" s="212">
        <v>1650</v>
      </c>
      <c r="I5" s="213">
        <f>H5*G5</f>
        <v>137.5</v>
      </c>
      <c r="J5" s="213">
        <f>H5*G5</f>
        <v>137.5</v>
      </c>
    </row>
    <row r="6" spans="2:10" x14ac:dyDescent="0.25">
      <c r="B6" s="257" t="s">
        <v>14</v>
      </c>
      <c r="C6" s="257"/>
      <c r="D6" s="257"/>
      <c r="E6" s="257"/>
      <c r="F6" s="214" t="s">
        <v>6</v>
      </c>
      <c r="G6" s="211">
        <f>1/12</f>
        <v>8.3333333333333329E-2</v>
      </c>
      <c r="H6" s="212">
        <v>2750</v>
      </c>
      <c r="I6" s="215">
        <f>H6*G6</f>
        <v>229.16666666666666</v>
      </c>
      <c r="J6" s="213">
        <f>H6*G6</f>
        <v>229.16666666666666</v>
      </c>
    </row>
    <row r="7" spans="2:10" x14ac:dyDescent="0.25">
      <c r="B7" s="258" t="s">
        <v>15</v>
      </c>
      <c r="C7" s="259"/>
      <c r="D7" s="259"/>
      <c r="E7" s="260"/>
      <c r="F7" s="210" t="s">
        <v>6</v>
      </c>
      <c r="G7" s="211">
        <f>1/12</f>
        <v>8.3333333333333329E-2</v>
      </c>
      <c r="H7" s="212">
        <v>1250</v>
      </c>
      <c r="I7" s="213">
        <f>H7*G7</f>
        <v>104.16666666666666</v>
      </c>
      <c r="J7" s="213">
        <f>H7*G7</f>
        <v>104.16666666666666</v>
      </c>
    </row>
    <row r="8" spans="2:10" x14ac:dyDescent="0.25">
      <c r="B8" s="253" t="s">
        <v>18</v>
      </c>
      <c r="C8" s="254"/>
      <c r="D8" s="254"/>
      <c r="E8" s="254"/>
      <c r="F8" s="254"/>
      <c r="G8" s="254"/>
      <c r="H8" s="254"/>
      <c r="I8" s="255"/>
      <c r="J8" s="5">
        <f>SUM(J3:J7)</f>
        <v>707.5</v>
      </c>
    </row>
    <row r="9" spans="2:10" ht="15" customHeight="1" x14ac:dyDescent="0.25">
      <c r="B9" s="261" t="s">
        <v>180</v>
      </c>
      <c r="C9" s="262"/>
      <c r="D9" s="262"/>
      <c r="E9" s="262"/>
      <c r="F9" s="262"/>
      <c r="G9" s="262"/>
      <c r="H9" s="262"/>
      <c r="I9" s="262"/>
      <c r="J9" s="263"/>
    </row>
    <row r="10" spans="2:10" x14ac:dyDescent="0.25">
      <c r="B10" s="264"/>
      <c r="C10" s="265"/>
      <c r="D10" s="265"/>
      <c r="E10" s="265"/>
      <c r="F10" s="265"/>
      <c r="G10" s="265"/>
      <c r="H10" s="265"/>
      <c r="I10" s="265"/>
      <c r="J10" s="266"/>
    </row>
    <row r="35" spans="2:11" ht="31.5" customHeight="1" x14ac:dyDescent="0.25">
      <c r="B35" s="249"/>
      <c r="C35" s="249"/>
      <c r="D35" s="249"/>
      <c r="E35" s="249"/>
      <c r="F35" s="249"/>
      <c r="G35" s="249"/>
      <c r="H35" s="249"/>
      <c r="I35" s="249"/>
      <c r="J35" s="249"/>
      <c r="K35" s="1"/>
    </row>
    <row r="37" spans="2:11" ht="25.5" customHeight="1" x14ac:dyDescent="0.25"/>
    <row r="44" spans="2:11" ht="18.75" customHeight="1" x14ac:dyDescent="0.25"/>
    <row r="45" spans="2:11" ht="29.25" customHeight="1" x14ac:dyDescent="0.25"/>
    <row r="113" spans="5:5" x14ac:dyDescent="0.25">
      <c r="E113" s="234">
        <f ca="1">TODAY()</f>
        <v>45146</v>
      </c>
    </row>
  </sheetData>
  <mergeCells count="10">
    <mergeCell ref="B35:J35"/>
    <mergeCell ref="B1:J1"/>
    <mergeCell ref="B8:I8"/>
    <mergeCell ref="B2:E2"/>
    <mergeCell ref="B3:E3"/>
    <mergeCell ref="B5:E5"/>
    <mergeCell ref="B4:E4"/>
    <mergeCell ref="B6:E6"/>
    <mergeCell ref="B7:E7"/>
    <mergeCell ref="B9:J10"/>
  </mergeCells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630C-86CD-46BF-BBCC-0EFCD2F9891B}">
  <dimension ref="A1:K113"/>
  <sheetViews>
    <sheetView view="pageBreakPreview" zoomScaleNormal="100" zoomScaleSheetLayoutView="100" workbookViewId="0">
      <selection activeCell="G6" sqref="G6"/>
    </sheetView>
  </sheetViews>
  <sheetFormatPr defaultRowHeight="12.75" x14ac:dyDescent="0.2"/>
  <cols>
    <col min="1" max="1" width="41.85546875" style="25" bestFit="1" customWidth="1"/>
    <col min="2" max="2" width="5.5703125" style="25" bestFit="1" customWidth="1"/>
    <col min="3" max="3" width="9.85546875" style="25" bestFit="1" customWidth="1"/>
    <col min="4" max="4" width="9.7109375" style="25" customWidth="1"/>
    <col min="5" max="5" width="10.140625" style="26" bestFit="1" customWidth="1"/>
    <col min="6" max="6" width="13.7109375" style="25" bestFit="1" customWidth="1"/>
    <col min="7" max="10" width="9.140625" style="25"/>
    <col min="11" max="11" width="13.42578125" style="25" bestFit="1" customWidth="1"/>
    <col min="12" max="13" width="9.140625" style="25"/>
    <col min="14" max="14" width="9.28515625" style="25" bestFit="1" customWidth="1"/>
    <col min="15" max="16384" width="9.140625" style="25"/>
  </cols>
  <sheetData>
    <row r="1" spans="1:11" s="27" customFormat="1" ht="42" customHeight="1" x14ac:dyDescent="0.2">
      <c r="A1" s="272" t="s">
        <v>177</v>
      </c>
      <c r="B1" s="272"/>
      <c r="C1" s="272"/>
      <c r="D1" s="272"/>
      <c r="E1" s="272"/>
      <c r="F1" s="272"/>
      <c r="G1" s="59"/>
      <c r="H1" s="59"/>
      <c r="I1" s="59"/>
    </row>
    <row r="2" spans="1:11" s="27" customFormat="1" ht="15" thickBot="1" x14ac:dyDescent="0.25">
      <c r="B2" s="58"/>
      <c r="C2" s="58"/>
      <c r="E2" s="28"/>
    </row>
    <row r="3" spans="1:11" ht="15" x14ac:dyDescent="0.25">
      <c r="A3" s="60"/>
      <c r="B3" s="58"/>
      <c r="C3" s="58"/>
      <c r="D3" s="267" t="s">
        <v>173</v>
      </c>
      <c r="E3" s="268"/>
      <c r="F3" s="269"/>
      <c r="G3" s="27"/>
      <c r="H3" s="27"/>
    </row>
    <row r="4" spans="1:11" ht="15" thickBot="1" x14ac:dyDescent="0.25">
      <c r="A4" s="61"/>
      <c r="B4" s="27"/>
      <c r="C4" s="27"/>
      <c r="D4" s="57" t="s">
        <v>138</v>
      </c>
      <c r="E4" s="56" t="s">
        <v>137</v>
      </c>
      <c r="F4" s="55" t="s">
        <v>136</v>
      </c>
      <c r="G4" s="27"/>
      <c r="H4" s="27"/>
    </row>
    <row r="5" spans="1:11" ht="14.25" x14ac:dyDescent="0.2">
      <c r="A5" s="54" t="s">
        <v>135</v>
      </c>
      <c r="B5" s="53" t="s">
        <v>134</v>
      </c>
      <c r="C5" s="222">
        <v>2.9700000000000001E-2</v>
      </c>
      <c r="D5" s="47">
        <v>2.9700000000000001E-2</v>
      </c>
      <c r="E5" s="52">
        <v>5.0799999999999998E-2</v>
      </c>
      <c r="F5" s="51">
        <v>6.2700000000000006E-2</v>
      </c>
      <c r="G5" s="27"/>
      <c r="H5" s="27"/>
    </row>
    <row r="6" spans="1:11" ht="14.25" x14ac:dyDescent="0.2">
      <c r="A6" s="46" t="s">
        <v>10</v>
      </c>
      <c r="B6" s="49" t="s">
        <v>133</v>
      </c>
      <c r="C6" s="62">
        <v>8.6E-3</v>
      </c>
      <c r="D6" s="47">
        <f>0.3%+0.56%</f>
        <v>8.6E-3</v>
      </c>
      <c r="E6" s="52">
        <f>0.48%+0.85%</f>
        <v>1.3299999999999999E-2</v>
      </c>
      <c r="F6" s="51">
        <f>0.82%+0.89%</f>
        <v>1.7099999999999997E-2</v>
      </c>
      <c r="G6" s="27"/>
      <c r="H6" s="27"/>
    </row>
    <row r="7" spans="1:11" ht="15" x14ac:dyDescent="0.25">
      <c r="A7" s="46" t="s">
        <v>132</v>
      </c>
      <c r="B7" s="49" t="s">
        <v>131</v>
      </c>
      <c r="C7" s="62">
        <v>7.7799999999999994E-2</v>
      </c>
      <c r="D7" s="47">
        <v>7.7799999999999994E-2</v>
      </c>
      <c r="E7" s="52">
        <v>0.1085</v>
      </c>
      <c r="F7" s="51">
        <v>0.13550000000000001</v>
      </c>
      <c r="G7" s="27"/>
      <c r="H7" s="27"/>
      <c r="K7" s="50"/>
    </row>
    <row r="8" spans="1:11" ht="14.25" x14ac:dyDescent="0.2">
      <c r="A8" s="46" t="s">
        <v>130</v>
      </c>
      <c r="B8" s="49" t="s">
        <v>129</v>
      </c>
      <c r="C8" s="48">
        <f>(1+E8)^(E9/252)-1</f>
        <v>0</v>
      </c>
      <c r="D8" s="47" t="s">
        <v>128</v>
      </c>
      <c r="E8" s="63">
        <v>6.25E-2</v>
      </c>
      <c r="F8" s="235"/>
      <c r="G8" s="27"/>
      <c r="H8" s="27"/>
    </row>
    <row r="9" spans="1:11" ht="14.25" x14ac:dyDescent="0.2">
      <c r="A9" s="46" t="s">
        <v>127</v>
      </c>
      <c r="B9" s="270" t="s">
        <v>126</v>
      </c>
      <c r="C9" s="62">
        <v>0.02</v>
      </c>
      <c r="D9" s="45" t="s">
        <v>125</v>
      </c>
      <c r="E9" s="64">
        <v>0</v>
      </c>
      <c r="F9" s="235"/>
      <c r="G9" s="27"/>
      <c r="H9" s="27"/>
    </row>
    <row r="10" spans="1:11" ht="15" thickBot="1" x14ac:dyDescent="0.25">
      <c r="A10" s="44" t="s">
        <v>124</v>
      </c>
      <c r="B10" s="271"/>
      <c r="C10" s="223">
        <v>3.6499999999999998E-2</v>
      </c>
      <c r="D10" s="37"/>
      <c r="E10" s="36"/>
      <c r="F10" s="35"/>
      <c r="G10" s="27"/>
      <c r="H10" s="27"/>
    </row>
    <row r="11" spans="1:11" ht="14.25" x14ac:dyDescent="0.2">
      <c r="A11" s="43" t="s">
        <v>123</v>
      </c>
      <c r="B11" s="42"/>
      <c r="C11" s="41"/>
      <c r="D11" s="37"/>
      <c r="E11" s="36"/>
      <c r="F11" s="35"/>
      <c r="G11" s="27"/>
      <c r="H11" s="27"/>
    </row>
    <row r="12" spans="1:11" ht="15" thickBot="1" x14ac:dyDescent="0.25">
      <c r="A12" s="40" t="s">
        <v>122</v>
      </c>
      <c r="B12" s="39"/>
      <c r="C12" s="38"/>
      <c r="D12" s="37"/>
      <c r="E12" s="36"/>
      <c r="F12" s="35"/>
      <c r="G12" s="27"/>
      <c r="H12" s="27"/>
    </row>
    <row r="13" spans="1:11" ht="15.75" thickBot="1" x14ac:dyDescent="0.25">
      <c r="A13" s="34" t="s">
        <v>121</v>
      </c>
      <c r="B13" s="33"/>
      <c r="C13" s="32">
        <f>ROUND((((1+C5+C6)*(1+C7)*(1+C8))/(1-(C9+C10))-1),4)</f>
        <v>0.18609999999999999</v>
      </c>
      <c r="D13" s="31">
        <v>0.21429999999999999</v>
      </c>
      <c r="E13" s="30">
        <v>0.2717</v>
      </c>
      <c r="F13" s="29">
        <v>0.3362</v>
      </c>
      <c r="G13" s="27"/>
      <c r="H13" s="27"/>
    </row>
    <row r="14" spans="1:11" ht="14.25" x14ac:dyDescent="0.2">
      <c r="A14" s="27"/>
      <c r="B14" s="27"/>
      <c r="C14" s="27"/>
      <c r="D14" s="27"/>
      <c r="E14" s="28"/>
      <c r="F14" s="27"/>
      <c r="G14" s="27"/>
      <c r="H14" s="27"/>
    </row>
    <row r="15" spans="1:11" ht="39.75" customHeight="1" x14ac:dyDescent="0.2">
      <c r="A15" s="262"/>
      <c r="B15" s="273"/>
      <c r="C15" s="273"/>
      <c r="D15" s="273"/>
      <c r="E15" s="273"/>
      <c r="F15" s="273"/>
      <c r="G15" s="27"/>
      <c r="H15" s="27"/>
    </row>
    <row r="16" spans="1:11" ht="14.25" x14ac:dyDescent="0.2">
      <c r="A16" s="27"/>
      <c r="B16" s="27"/>
      <c r="C16" s="27"/>
      <c r="D16" s="27"/>
      <c r="E16" s="28"/>
      <c r="F16" s="27"/>
      <c r="G16" s="27"/>
      <c r="H16" s="27"/>
    </row>
    <row r="17" spans="1:8" ht="14.25" x14ac:dyDescent="0.2">
      <c r="A17" s="27"/>
      <c r="B17" s="27"/>
      <c r="C17" s="27"/>
      <c r="D17" s="27"/>
      <c r="E17" s="28"/>
      <c r="F17" s="27"/>
      <c r="G17" s="27"/>
      <c r="H17" s="27"/>
    </row>
    <row r="113" spans="5:5" x14ac:dyDescent="0.2">
      <c r="E113" s="233">
        <f ca="1">TODAY()</f>
        <v>45146</v>
      </c>
    </row>
  </sheetData>
  <mergeCells count="4">
    <mergeCell ref="D3:F3"/>
    <mergeCell ref="B9:B10"/>
    <mergeCell ref="A1:F1"/>
    <mergeCell ref="A15:F15"/>
  </mergeCells>
  <pageMargins left="0.9055118110236221" right="0.51181102362204722" top="0.74803149606299213" bottom="0.74803149606299213" header="0.31496062992125984" footer="0.31496062992125984"/>
  <pageSetup paperSize="9" scale="96" orientation="portrait" horizontalDpi="4294967294" verticalDpi="4294967294" r:id="rId1"/>
  <headerFooter>
    <oddFooter>&amp;R&amp;P</oddFooter>
  </headerFooter>
  <rowBreaks count="1" manualBreakCount="1">
    <brk id="3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13"/>
  <sheetViews>
    <sheetView view="pageBreakPreview" zoomScale="60" zoomScaleNormal="100" workbookViewId="0">
      <selection activeCell="F40" sqref="F40"/>
    </sheetView>
  </sheetViews>
  <sheetFormatPr defaultRowHeight="15" x14ac:dyDescent="0.25"/>
  <cols>
    <col min="1" max="1" width="0.5703125" customWidth="1"/>
    <col min="11" max="11" width="2.7109375" customWidth="1"/>
    <col min="13" max="13" width="11" customWidth="1"/>
  </cols>
  <sheetData>
    <row r="1" spans="2:14" ht="26.25" x14ac:dyDescent="0.25">
      <c r="B1" s="274" t="s">
        <v>37</v>
      </c>
      <c r="C1" s="274"/>
      <c r="D1" s="274"/>
      <c r="E1" s="274"/>
      <c r="F1" s="274"/>
      <c r="G1" s="274"/>
      <c r="H1" s="274"/>
      <c r="I1" s="274"/>
      <c r="J1" s="274"/>
      <c r="K1" s="274"/>
      <c r="L1" s="3"/>
      <c r="M1" s="3"/>
      <c r="N1" s="3"/>
    </row>
    <row r="3" spans="2:14" x14ac:dyDescent="0.25">
      <c r="D3" t="s">
        <v>156</v>
      </c>
    </row>
    <row r="8" spans="2:14" x14ac:dyDescent="0.25">
      <c r="E8" t="s">
        <v>164</v>
      </c>
      <c r="F8">
        <v>3074.3053920414413</v>
      </c>
    </row>
    <row r="9" spans="2:14" x14ac:dyDescent="0.25">
      <c r="E9" t="s">
        <v>165</v>
      </c>
      <c r="F9">
        <v>947.65800000000002</v>
      </c>
    </row>
    <row r="10" spans="2:14" x14ac:dyDescent="0.25">
      <c r="E10" t="s">
        <v>166</v>
      </c>
      <c r="F10">
        <v>3532.8584905660373</v>
      </c>
    </row>
    <row r="14" spans="2:14" x14ac:dyDescent="0.25">
      <c r="E14" t="s">
        <v>167</v>
      </c>
      <c r="F14">
        <v>0.69879999999999998</v>
      </c>
    </row>
    <row r="17" spans="2:12" x14ac:dyDescent="0.25">
      <c r="E17" t="s">
        <v>168</v>
      </c>
      <c r="F17">
        <v>140.59</v>
      </c>
    </row>
    <row r="18" spans="2:12" x14ac:dyDescent="0.25">
      <c r="E18" t="s">
        <v>169</v>
      </c>
      <c r="F18">
        <v>126.21</v>
      </c>
    </row>
    <row r="19" spans="2:12" x14ac:dyDescent="0.25">
      <c r="E19" t="s">
        <v>170</v>
      </c>
      <c r="F19">
        <v>95.24</v>
      </c>
    </row>
    <row r="20" spans="2:12" x14ac:dyDescent="0.25">
      <c r="E20" t="s">
        <v>171</v>
      </c>
      <c r="F20">
        <v>90.96</v>
      </c>
    </row>
    <row r="23" spans="2:12" x14ac:dyDescent="0.25">
      <c r="E23" t="s">
        <v>172</v>
      </c>
      <c r="F23">
        <v>137427.14000000001</v>
      </c>
    </row>
    <row r="24" spans="2:12" x14ac:dyDescent="0.25">
      <c r="L24">
        <v>171.87</v>
      </c>
    </row>
    <row r="25" spans="2:12" ht="6" customHeight="1" x14ac:dyDescent="0.25"/>
    <row r="26" spans="2:12" ht="37.5" customHeight="1" x14ac:dyDescent="0.25">
      <c r="B26" s="249" t="s">
        <v>163</v>
      </c>
      <c r="C26" s="249"/>
      <c r="D26" s="249"/>
      <c r="E26" s="249"/>
      <c r="F26" s="249"/>
      <c r="G26" s="249"/>
      <c r="H26" s="249"/>
      <c r="I26" s="249"/>
      <c r="J26" s="249"/>
      <c r="K26" s="1"/>
    </row>
    <row r="27" spans="2:12" ht="18.75" customHeight="1" x14ac:dyDescent="0.25">
      <c r="B27" s="274" t="s">
        <v>38</v>
      </c>
      <c r="C27" s="274"/>
      <c r="D27" s="274"/>
      <c r="E27" s="274"/>
      <c r="F27" s="274"/>
      <c r="G27" s="274"/>
      <c r="H27" s="274"/>
      <c r="I27" s="274"/>
      <c r="J27" s="274"/>
    </row>
    <row r="31" spans="2:12" ht="12.75" customHeight="1" x14ac:dyDescent="0.25"/>
    <row r="33" spans="2:14" ht="12.75" customHeight="1" x14ac:dyDescent="0.25">
      <c r="L33" s="2"/>
      <c r="M33" s="2"/>
      <c r="N33" s="2"/>
    </row>
    <row r="34" spans="2:14" ht="27" customHeight="1" x14ac:dyDescent="0.25"/>
    <row r="44" spans="2:14" x14ac:dyDescent="0.25">
      <c r="L44">
        <v>119.49</v>
      </c>
    </row>
    <row r="45" spans="2:14" ht="31.5" customHeight="1" x14ac:dyDescent="0.25">
      <c r="B45" s="249" t="s">
        <v>161</v>
      </c>
      <c r="C45" s="249"/>
      <c r="D45" s="249"/>
      <c r="E45" s="249"/>
      <c r="F45" s="249"/>
      <c r="G45" s="249"/>
      <c r="H45" s="249"/>
      <c r="I45" s="249"/>
      <c r="J45" s="249"/>
    </row>
    <row r="113" spans="5:5" x14ac:dyDescent="0.25">
      <c r="E113" s="234">
        <f ca="1">TODAY()</f>
        <v>45146</v>
      </c>
    </row>
  </sheetData>
  <mergeCells count="4">
    <mergeCell ref="B1:K1"/>
    <mergeCell ref="B27:J27"/>
    <mergeCell ref="B45:J45"/>
    <mergeCell ref="B26:J2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16243-5491-49C0-96D4-7F4748226F18}">
  <dimension ref="B1:K113"/>
  <sheetViews>
    <sheetView view="pageBreakPreview" topLeftCell="A28" zoomScale="115" zoomScaleNormal="100" zoomScaleSheetLayoutView="115" workbookViewId="0">
      <selection activeCell="B37" sqref="B37:J37"/>
    </sheetView>
  </sheetViews>
  <sheetFormatPr defaultRowHeight="15" x14ac:dyDescent="0.25"/>
  <cols>
    <col min="1" max="1" width="2.5703125" customWidth="1"/>
    <col min="7" max="7" width="11.140625" bestFit="1" customWidth="1"/>
    <col min="8" max="8" width="10.140625" customWidth="1"/>
    <col min="10" max="10" width="9.140625" customWidth="1"/>
    <col min="11" max="11" width="13.42578125" customWidth="1"/>
  </cols>
  <sheetData>
    <row r="1" spans="2:10" ht="27" customHeight="1" x14ac:dyDescent="0.25">
      <c r="B1" s="274" t="s">
        <v>39</v>
      </c>
      <c r="C1" s="274"/>
      <c r="D1" s="274"/>
      <c r="E1" s="274"/>
      <c r="F1" s="274"/>
      <c r="G1" s="274"/>
      <c r="H1" s="274"/>
      <c r="I1" s="274"/>
      <c r="J1" s="274"/>
    </row>
    <row r="3" spans="2:10" x14ac:dyDescent="0.25">
      <c r="D3" t="s">
        <v>156</v>
      </c>
    </row>
    <row r="8" spans="2:10" x14ac:dyDescent="0.25">
      <c r="E8" t="s">
        <v>164</v>
      </c>
      <c r="F8">
        <v>3074.3053920414413</v>
      </c>
    </row>
    <row r="9" spans="2:10" x14ac:dyDescent="0.25">
      <c r="E9" t="s">
        <v>165</v>
      </c>
      <c r="F9">
        <v>947.65800000000002</v>
      </c>
    </row>
    <row r="10" spans="2:10" x14ac:dyDescent="0.25">
      <c r="E10" t="s">
        <v>166</v>
      </c>
      <c r="F10">
        <v>3532.8584905660373</v>
      </c>
    </row>
    <row r="14" spans="2:10" x14ac:dyDescent="0.25">
      <c r="E14" t="s">
        <v>167</v>
      </c>
      <c r="F14">
        <v>0.69879999999999998</v>
      </c>
    </row>
    <row r="17" spans="5:6" x14ac:dyDescent="0.25">
      <c r="E17" t="s">
        <v>168</v>
      </c>
      <c r="F17">
        <v>140.59</v>
      </c>
    </row>
    <row r="18" spans="5:6" x14ac:dyDescent="0.25">
      <c r="E18" t="s">
        <v>169</v>
      </c>
      <c r="F18">
        <v>126.21</v>
      </c>
    </row>
    <row r="19" spans="5:6" x14ac:dyDescent="0.25">
      <c r="E19" t="s">
        <v>170</v>
      </c>
      <c r="F19">
        <v>95.24</v>
      </c>
    </row>
    <row r="20" spans="5:6" x14ac:dyDescent="0.25">
      <c r="E20" t="s">
        <v>171</v>
      </c>
      <c r="F20">
        <v>90.96</v>
      </c>
    </row>
    <row r="23" spans="5:6" x14ac:dyDescent="0.25">
      <c r="E23" t="s">
        <v>172</v>
      </c>
      <c r="F23">
        <v>137427.14000000001</v>
      </c>
    </row>
    <row r="34" spans="2:11" x14ac:dyDescent="0.25">
      <c r="K34">
        <v>117.38</v>
      </c>
    </row>
    <row r="35" spans="2:11" ht="31.5" customHeight="1" x14ac:dyDescent="0.25">
      <c r="B35" s="249" t="s">
        <v>162</v>
      </c>
      <c r="C35" s="249"/>
      <c r="D35" s="249"/>
      <c r="E35" s="249"/>
      <c r="F35" s="249"/>
      <c r="G35" s="249"/>
      <c r="H35" s="249"/>
      <c r="I35" s="249"/>
      <c r="J35" s="249"/>
      <c r="K35" s="1"/>
    </row>
    <row r="37" spans="2:11" ht="25.5" customHeight="1" x14ac:dyDescent="0.25">
      <c r="B37" s="275" t="s">
        <v>178</v>
      </c>
      <c r="C37" s="275"/>
      <c r="D37" s="275"/>
      <c r="E37" s="275"/>
      <c r="F37" s="275"/>
      <c r="G37" s="275"/>
      <c r="H37" s="275"/>
      <c r="I37" s="275"/>
      <c r="J37" s="275"/>
    </row>
    <row r="38" spans="2:11" ht="25.5" x14ac:dyDescent="0.25">
      <c r="B38" s="256" t="s">
        <v>0</v>
      </c>
      <c r="C38" s="256"/>
      <c r="D38" s="256"/>
      <c r="E38" s="256"/>
      <c r="F38" s="6" t="s">
        <v>1</v>
      </c>
      <c r="G38" s="8" t="s">
        <v>16</v>
      </c>
      <c r="H38" s="7" t="s">
        <v>2</v>
      </c>
      <c r="I38" s="6" t="s">
        <v>3</v>
      </c>
      <c r="J38" s="6" t="s">
        <v>4</v>
      </c>
    </row>
    <row r="39" spans="2:11" x14ac:dyDescent="0.25">
      <c r="B39" s="257" t="s">
        <v>12</v>
      </c>
      <c r="C39" s="257"/>
      <c r="D39" s="257"/>
      <c r="E39" s="257"/>
      <c r="F39" s="210" t="s">
        <v>6</v>
      </c>
      <c r="G39" s="211">
        <f>10/12</f>
        <v>0.83333333333333337</v>
      </c>
      <c r="H39" s="212">
        <v>149</v>
      </c>
      <c r="I39" s="213">
        <f>H39*G39</f>
        <v>124.16666666666667</v>
      </c>
      <c r="J39" s="213">
        <f>H39*G39</f>
        <v>124.16666666666667</v>
      </c>
    </row>
    <row r="40" spans="2:11" x14ac:dyDescent="0.25">
      <c r="B40" s="257" t="s">
        <v>13</v>
      </c>
      <c r="C40" s="257"/>
      <c r="D40" s="257"/>
      <c r="E40" s="257"/>
      <c r="F40" s="210" t="s">
        <v>6</v>
      </c>
      <c r="G40" s="211">
        <f>1/12</f>
        <v>8.3333333333333329E-2</v>
      </c>
      <c r="H40" s="212">
        <v>2640</v>
      </c>
      <c r="I40" s="213">
        <f>H40*G40</f>
        <v>220</v>
      </c>
      <c r="J40" s="213">
        <f>H40*G40</f>
        <v>220</v>
      </c>
    </row>
    <row r="41" spans="2:11" x14ac:dyDescent="0.25">
      <c r="B41" s="257" t="s">
        <v>41</v>
      </c>
      <c r="C41" s="257"/>
      <c r="D41" s="257"/>
      <c r="E41" s="257"/>
      <c r="F41" s="210" t="s">
        <v>6</v>
      </c>
      <c r="G41" s="211">
        <f>1/12</f>
        <v>8.3333333333333329E-2</v>
      </c>
      <c r="H41" s="212">
        <v>650</v>
      </c>
      <c r="I41" s="213">
        <f>H41*G41</f>
        <v>54.166666666666664</v>
      </c>
      <c r="J41" s="213">
        <f>H41*G41</f>
        <v>54.166666666666664</v>
      </c>
    </row>
    <row r="42" spans="2:11" x14ac:dyDescent="0.25">
      <c r="B42" s="257" t="s">
        <v>14</v>
      </c>
      <c r="C42" s="257"/>
      <c r="D42" s="257"/>
      <c r="E42" s="257"/>
      <c r="F42" s="214" t="s">
        <v>6</v>
      </c>
      <c r="G42" s="211">
        <f>1/12</f>
        <v>8.3333333333333329E-2</v>
      </c>
      <c r="H42" s="212">
        <v>1250</v>
      </c>
      <c r="I42" s="215">
        <f>H42*G42</f>
        <v>104.16666666666666</v>
      </c>
      <c r="J42" s="213">
        <f>H42*G42</f>
        <v>104.16666666666666</v>
      </c>
    </row>
    <row r="43" spans="2:11" x14ac:dyDescent="0.25">
      <c r="B43" s="258" t="s">
        <v>15</v>
      </c>
      <c r="C43" s="259"/>
      <c r="D43" s="259"/>
      <c r="E43" s="260"/>
      <c r="F43" s="210" t="s">
        <v>6</v>
      </c>
      <c r="G43" s="211">
        <f>1/12</f>
        <v>8.3333333333333329E-2</v>
      </c>
      <c r="H43" s="212">
        <v>987</v>
      </c>
      <c r="I43" s="213">
        <f>H43*G43</f>
        <v>82.25</v>
      </c>
      <c r="J43" s="213">
        <f>H43*G43</f>
        <v>82.25</v>
      </c>
    </row>
    <row r="44" spans="2:11" ht="18.75" customHeight="1" x14ac:dyDescent="0.25">
      <c r="B44" s="253" t="s">
        <v>18</v>
      </c>
      <c r="C44" s="254"/>
      <c r="D44" s="254"/>
      <c r="E44" s="254"/>
      <c r="F44" s="254"/>
      <c r="G44" s="254"/>
      <c r="H44" s="254"/>
      <c r="I44" s="255"/>
      <c r="J44" s="5">
        <f>SUM(J39:J43)</f>
        <v>584.75</v>
      </c>
    </row>
    <row r="45" spans="2:11" ht="29.25" customHeight="1" x14ac:dyDescent="0.25">
      <c r="B45" s="276" t="s">
        <v>151</v>
      </c>
      <c r="C45" s="276"/>
      <c r="D45" s="276"/>
      <c r="E45" s="276"/>
      <c r="F45" s="276"/>
      <c r="G45" s="276"/>
      <c r="H45" s="276"/>
      <c r="I45" s="276"/>
      <c r="J45" s="276"/>
    </row>
    <row r="113" spans="5:5" x14ac:dyDescent="0.25">
      <c r="E113" s="234">
        <f ca="1">TODAY()</f>
        <v>45146</v>
      </c>
    </row>
  </sheetData>
  <mergeCells count="11">
    <mergeCell ref="B41:E41"/>
    <mergeCell ref="B42:E42"/>
    <mergeCell ref="B43:E43"/>
    <mergeCell ref="B44:I44"/>
    <mergeCell ref="B45:J45"/>
    <mergeCell ref="B40:E40"/>
    <mergeCell ref="B1:J1"/>
    <mergeCell ref="B35:J35"/>
    <mergeCell ref="B37:J37"/>
    <mergeCell ref="B38:E38"/>
    <mergeCell ref="B39:E39"/>
  </mergeCells>
  <pageMargins left="0.51181102362204722" right="0.51181102362204722" top="0.78740157480314965" bottom="0.78740157480314965" header="0.31496062992125984" footer="0.31496062992125984"/>
  <pageSetup paperSize="9" orientation="portrait" horizontalDpi="4294967294" verticalDpi="4294967294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99B4-B3B7-4670-8C11-73938EDF1F17}">
  <dimension ref="A1:K113"/>
  <sheetViews>
    <sheetView view="pageBreakPreview" zoomScaleNormal="100" zoomScaleSheetLayoutView="100" workbookViewId="0">
      <selection sqref="A1:F1"/>
    </sheetView>
  </sheetViews>
  <sheetFormatPr defaultRowHeight="12.75" x14ac:dyDescent="0.2"/>
  <cols>
    <col min="1" max="1" width="41.85546875" style="25" bestFit="1" customWidth="1"/>
    <col min="2" max="2" width="5.5703125" style="25" bestFit="1" customWidth="1"/>
    <col min="3" max="3" width="9.85546875" style="25" bestFit="1" customWidth="1"/>
    <col min="4" max="4" width="9.7109375" style="25" customWidth="1"/>
    <col min="5" max="5" width="10.140625" style="26" bestFit="1" customWidth="1"/>
    <col min="6" max="6" width="13.7109375" style="25" bestFit="1" customWidth="1"/>
    <col min="7" max="10" width="9.140625" style="25"/>
    <col min="11" max="11" width="13.42578125" style="25" bestFit="1" customWidth="1"/>
    <col min="12" max="13" width="9.140625" style="25"/>
    <col min="14" max="14" width="9.28515625" style="25" bestFit="1" customWidth="1"/>
    <col min="15" max="16384" width="9.140625" style="25"/>
  </cols>
  <sheetData>
    <row r="1" spans="1:11" s="27" customFormat="1" ht="42" customHeight="1" x14ac:dyDescent="0.2">
      <c r="A1" s="272" t="s">
        <v>177</v>
      </c>
      <c r="B1" s="272"/>
      <c r="C1" s="272"/>
      <c r="D1" s="272"/>
      <c r="E1" s="272"/>
      <c r="F1" s="272"/>
      <c r="G1" s="59"/>
      <c r="H1" s="59"/>
      <c r="I1" s="59"/>
    </row>
    <row r="2" spans="1:11" s="27" customFormat="1" ht="15" thickBot="1" x14ac:dyDescent="0.25">
      <c r="B2" s="58"/>
      <c r="C2" s="58"/>
      <c r="E2" s="28"/>
    </row>
    <row r="3" spans="1:11" ht="15" x14ac:dyDescent="0.25">
      <c r="A3" s="60"/>
      <c r="B3" s="58"/>
      <c r="C3" s="58"/>
      <c r="D3" s="267" t="s">
        <v>173</v>
      </c>
      <c r="E3" s="268"/>
      <c r="F3" s="269"/>
      <c r="G3" s="27"/>
      <c r="H3" s="27"/>
    </row>
    <row r="4" spans="1:11" ht="15" thickBot="1" x14ac:dyDescent="0.25">
      <c r="A4" s="61"/>
      <c r="B4" s="27"/>
      <c r="C4" s="27"/>
      <c r="D4" s="57" t="s">
        <v>138</v>
      </c>
      <c r="E4" s="56" t="s">
        <v>137</v>
      </c>
      <c r="F4" s="55" t="s">
        <v>136</v>
      </c>
      <c r="G4" s="27"/>
      <c r="H4" s="27"/>
    </row>
    <row r="5" spans="1:11" ht="14.25" x14ac:dyDescent="0.2">
      <c r="A5" s="54" t="s">
        <v>135</v>
      </c>
      <c r="B5" s="53" t="s">
        <v>134</v>
      </c>
      <c r="C5" s="222">
        <v>2.9700000000000001E-2</v>
      </c>
      <c r="D5" s="47">
        <v>2.9700000000000001E-2</v>
      </c>
      <c r="E5" s="52">
        <v>5.0799999999999998E-2</v>
      </c>
      <c r="F5" s="51">
        <v>6.2700000000000006E-2</v>
      </c>
      <c r="G5" s="27"/>
      <c r="H5" s="27"/>
    </row>
    <row r="6" spans="1:11" ht="14.25" x14ac:dyDescent="0.2">
      <c r="A6" s="46" t="s">
        <v>10</v>
      </c>
      <c r="B6" s="49" t="s">
        <v>133</v>
      </c>
      <c r="C6" s="62">
        <v>8.6E-3</v>
      </c>
      <c r="D6" s="47">
        <f>0.3%+0.56%</f>
        <v>8.6E-3</v>
      </c>
      <c r="E6" s="52">
        <f>0.48%+0.85%</f>
        <v>1.3299999999999999E-2</v>
      </c>
      <c r="F6" s="51">
        <f>0.82%+0.89%</f>
        <v>1.7099999999999997E-2</v>
      </c>
      <c r="G6" s="27"/>
      <c r="H6" s="27"/>
    </row>
    <row r="7" spans="1:11" ht="15" x14ac:dyDescent="0.25">
      <c r="A7" s="46" t="s">
        <v>132</v>
      </c>
      <c r="B7" s="49" t="s">
        <v>131</v>
      </c>
      <c r="C7" s="62">
        <v>7.7799999999999994E-2</v>
      </c>
      <c r="D7" s="47">
        <v>7.7799999999999994E-2</v>
      </c>
      <c r="E7" s="52">
        <v>0.1085</v>
      </c>
      <c r="F7" s="51">
        <v>0.13550000000000001</v>
      </c>
      <c r="G7" s="27"/>
      <c r="H7" s="27"/>
      <c r="K7" s="50"/>
    </row>
    <row r="8" spans="1:11" ht="14.25" x14ac:dyDescent="0.2">
      <c r="A8" s="46" t="s">
        <v>130</v>
      </c>
      <c r="B8" s="49" t="s">
        <v>129</v>
      </c>
      <c r="C8" s="48">
        <f>(1+E8)^(E9/252)-1</f>
        <v>0</v>
      </c>
      <c r="D8" s="47" t="s">
        <v>128</v>
      </c>
      <c r="E8" s="63">
        <v>6.25E-2</v>
      </c>
      <c r="F8" s="235"/>
      <c r="G8" s="27"/>
      <c r="H8" s="27"/>
    </row>
    <row r="9" spans="1:11" ht="14.25" x14ac:dyDescent="0.2">
      <c r="A9" s="46" t="s">
        <v>127</v>
      </c>
      <c r="B9" s="270" t="s">
        <v>126</v>
      </c>
      <c r="C9" s="62">
        <v>0.02</v>
      </c>
      <c r="D9" s="45" t="s">
        <v>125</v>
      </c>
      <c r="E9" s="64">
        <v>0</v>
      </c>
      <c r="F9" s="235"/>
      <c r="G9" s="27"/>
      <c r="H9" s="27"/>
    </row>
    <row r="10" spans="1:11" ht="15" thickBot="1" x14ac:dyDescent="0.25">
      <c r="A10" s="44" t="s">
        <v>124</v>
      </c>
      <c r="B10" s="271"/>
      <c r="C10" s="223">
        <v>3.6499999999999998E-2</v>
      </c>
      <c r="D10" s="37"/>
      <c r="E10" s="36"/>
      <c r="F10" s="35"/>
      <c r="G10" s="27"/>
      <c r="H10" s="27"/>
    </row>
    <row r="11" spans="1:11" ht="14.25" x14ac:dyDescent="0.2">
      <c r="A11" s="43" t="s">
        <v>123</v>
      </c>
      <c r="B11" s="42"/>
      <c r="C11" s="41"/>
      <c r="D11" s="37"/>
      <c r="E11" s="36"/>
      <c r="F11" s="35"/>
      <c r="G11" s="27"/>
      <c r="H11" s="27"/>
    </row>
    <row r="12" spans="1:11" ht="15" thickBot="1" x14ac:dyDescent="0.25">
      <c r="A12" s="40" t="s">
        <v>122</v>
      </c>
      <c r="B12" s="39"/>
      <c r="C12" s="38"/>
      <c r="D12" s="37"/>
      <c r="E12" s="36"/>
      <c r="F12" s="35"/>
      <c r="G12" s="27"/>
      <c r="H12" s="27"/>
    </row>
    <row r="13" spans="1:11" ht="15.75" thickBot="1" x14ac:dyDescent="0.25">
      <c r="A13" s="34" t="s">
        <v>121</v>
      </c>
      <c r="B13" s="33"/>
      <c r="C13" s="32">
        <f>ROUND((((1+C5+C6)*(1+C7)*(1+C8))/(1-(C9+C10))-1),4)</f>
        <v>0.18609999999999999</v>
      </c>
      <c r="D13" s="31">
        <v>0.21429999999999999</v>
      </c>
      <c r="E13" s="30">
        <v>0.2717</v>
      </c>
      <c r="F13" s="29">
        <v>0.3362</v>
      </c>
      <c r="G13" s="27"/>
      <c r="H13" s="27"/>
    </row>
    <row r="14" spans="1:11" ht="14.25" x14ac:dyDescent="0.2">
      <c r="A14" s="27"/>
      <c r="B14" s="27"/>
      <c r="C14" s="27"/>
      <c r="D14" s="27"/>
      <c r="E14" s="28"/>
      <c r="F14" s="27"/>
      <c r="G14" s="27"/>
      <c r="H14" s="27"/>
    </row>
    <row r="15" spans="1:11" ht="39.75" customHeight="1" x14ac:dyDescent="0.2">
      <c r="A15" s="262"/>
      <c r="B15" s="273"/>
      <c r="C15" s="273"/>
      <c r="D15" s="273"/>
      <c r="E15" s="273"/>
      <c r="F15" s="273"/>
      <c r="G15" s="27"/>
      <c r="H15" s="27"/>
    </row>
    <row r="16" spans="1:11" ht="14.25" x14ac:dyDescent="0.2">
      <c r="A16" s="27"/>
      <c r="B16" s="27"/>
      <c r="C16" s="27"/>
      <c r="D16" s="27"/>
      <c r="E16" s="28"/>
      <c r="F16" s="27"/>
      <c r="G16" s="27"/>
      <c r="H16" s="27"/>
    </row>
    <row r="17" spans="1:8" ht="14.25" x14ac:dyDescent="0.2">
      <c r="A17" s="27"/>
      <c r="B17" s="27"/>
      <c r="C17" s="27"/>
      <c r="D17" s="27"/>
      <c r="E17" s="28"/>
      <c r="F17" s="27"/>
      <c r="G17" s="27"/>
      <c r="H17" s="27"/>
    </row>
    <row r="113" spans="5:5" x14ac:dyDescent="0.2">
      <c r="E113" s="233">
        <f ca="1">TODAY()</f>
        <v>45146</v>
      </c>
    </row>
  </sheetData>
  <mergeCells count="4">
    <mergeCell ref="A1:F1"/>
    <mergeCell ref="D3:F3"/>
    <mergeCell ref="B9:B10"/>
    <mergeCell ref="A15:F15"/>
  </mergeCells>
  <pageMargins left="0.9055118110236221" right="0.51181102362204722" top="0.74803149606299213" bottom="0.74803149606299213" header="0.31496062992125984" footer="0.31496062992125984"/>
  <pageSetup paperSize="9" orientation="portrait" horizontalDpi="4294967294" verticalDpi="4294967294" r:id="rId1"/>
  <headerFooter>
    <oddFooter>&amp;R&amp;P</oddFooter>
  </headerFooter>
  <rowBreaks count="1" manualBreakCount="1">
    <brk id="32" max="16383" man="1"/>
  </rowBreaks>
  <colBreaks count="1" manualBreakCount="1">
    <brk id="4" max="1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Base</vt:lpstr>
      <vt:lpstr>Anexo1</vt:lpstr>
      <vt:lpstr>Anexo 2</vt:lpstr>
      <vt:lpstr>Anexo 3</vt:lpstr>
      <vt:lpstr>Anexo 2 e 3 - não usado</vt:lpstr>
      <vt:lpstr>Anexo 4 e 5 - não usado</vt:lpstr>
      <vt:lpstr>Anexo 6 - não usado</vt:lpstr>
      <vt:lpstr>'Anexo 2'!Area_de_impressao</vt:lpstr>
      <vt:lpstr>'Anexo 2 e 3 - não usado'!Area_de_impressao</vt:lpstr>
      <vt:lpstr>'Anexo 3'!Area_de_impressao</vt:lpstr>
      <vt:lpstr>'Anexo 4 e 5 - não usado'!Area_de_impressao</vt:lpstr>
      <vt:lpstr>'Anexo 6 - não usado'!Area_de_impressao</vt:lpstr>
      <vt:lpstr>Anexo1!Area_de_impressao</vt:lpstr>
      <vt:lpstr>Base!Area_de_impressao</vt:lpstr>
      <vt:lpstr>Base!Titulos_de_impressao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2023-08-08T14:24:33Z</dcterms:modified>
</cp:coreProperties>
</file>